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Vn3PnUAXlPfrSXTJWqBgkS/nMRR/AC0n2OqXsTnIgfBdUFw/ur5CQjgduIAE/GOWTLehrtCbSZaW84z8ZxLvAA==" workbookSaltValue="ZsiyWkBb0kjGTOGsQ/As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AT18" i="17"/>
  <c r="AL10" i="11"/>
  <c r="N10" i="11"/>
  <c r="N9" i="11"/>
  <c r="T10" i="21"/>
  <c r="AO16" i="11"/>
  <c r="F10" i="10"/>
  <c r="N11" i="11"/>
  <c r="ES19" i="8"/>
  <c r="S19" i="13"/>
  <c r="AG19" i="19"/>
  <c r="R8" i="9"/>
  <c r="X12" i="21" s="1"/>
  <c r="CI19" i="8"/>
  <c r="AE19" i="8"/>
  <c r="F17" i="16"/>
  <c r="BL17" i="16" s="1"/>
  <c r="EP19" i="8"/>
  <c r="ER19" i="13"/>
  <c r="AL13" i="16"/>
  <c r="AP16" i="20"/>
  <c r="BH9" i="16"/>
  <c r="V15" i="11"/>
  <c r="BJ17" i="11"/>
  <c r="BH15" i="11"/>
  <c r="BH15" i="16"/>
  <c r="Q17" i="20"/>
  <c r="Q18" i="20" s="1"/>
  <c r="V11" i="16"/>
  <c r="BF17" i="11"/>
  <c r="BF16" i="11"/>
  <c r="S17" i="16"/>
  <c r="BL12" i="11"/>
  <c r="S13" i="16"/>
  <c r="H18" i="16"/>
  <c r="P13" i="16"/>
  <c r="AN13" i="20"/>
  <c r="F15" i="17"/>
  <c r="X11" i="17"/>
  <c r="F17" i="17"/>
  <c r="AQ17" i="17" s="1"/>
  <c r="H15" i="2"/>
  <c r="M13" i="2"/>
  <c r="N13" i="2"/>
  <c r="AC10" i="11"/>
  <c r="H13" i="12"/>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AZ18" i="13"/>
  <c r="BG15"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17" i="6"/>
  <c r="C17" i="6"/>
  <c r="C18" i="7"/>
  <c r="T19" i="8"/>
  <c r="B16" i="6"/>
  <c r="E18" i="12"/>
  <c r="AW18" i="21"/>
  <c r="B18" i="2"/>
  <c r="BD12" i="8"/>
  <c r="H12" i="7" s="1"/>
  <c r="Z13" i="17"/>
  <c r="L12" i="14"/>
  <c r="AO12" i="11"/>
  <c r="Z19" i="8"/>
  <c r="BG10" i="8"/>
  <c r="AY13" i="8"/>
  <c r="F9" i="2"/>
  <c r="AO12" i="17"/>
  <c r="AL11" i="11"/>
  <c r="H12" i="2"/>
  <c r="M18" i="2"/>
  <c r="N18" i="2"/>
  <c r="B9" i="6"/>
  <c r="V9" i="16"/>
  <c r="L16" i="2"/>
  <c r="L15" i="2"/>
  <c r="L10" i="2"/>
  <c r="BE9" i="8"/>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7" i="11"/>
  <c r="V12" i="21"/>
  <c r="V13" i="21" s="1"/>
  <c r="V19" i="21" s="1"/>
  <c r="R12" i="14"/>
  <c r="BK9" i="11"/>
  <c r="BF10" i="11"/>
  <c r="BK12" i="11"/>
  <c r="BL17" i="11"/>
  <c r="P17" i="17"/>
  <c r="BM16" i="11"/>
  <c r="BG10" i="11"/>
  <c r="BH17" i="16"/>
  <c r="BL9" i="11"/>
  <c r="BH11" i="16"/>
  <c r="BF11" i="11"/>
  <c r="T9" i="11"/>
  <c r="V10" i="21"/>
  <c r="C10" i="6"/>
  <c r="I10" i="12" s="1"/>
  <c r="BD15" i="8"/>
  <c r="H15" i="7" s="1"/>
  <c r="BE15" i="8"/>
  <c r="BG16" i="8"/>
  <c r="K16" i="7" s="1"/>
  <c r="E18" i="2"/>
  <c r="AL15" i="11"/>
  <c r="L16" i="14"/>
  <c r="F15" i="11"/>
  <c r="F16" i="17"/>
  <c r="E9" i="6"/>
  <c r="BA13" i="8"/>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J18" i="2" l="1"/>
  <c r="AL18" i="11"/>
  <c r="F18" i="2"/>
  <c r="AI19" i="11"/>
  <c r="K16" i="12"/>
  <c r="P12" i="11"/>
  <c r="F19" i="7"/>
  <c r="H13" i="2"/>
  <c r="C18" i="6"/>
  <c r="G21" i="11"/>
  <c r="AM13" i="11"/>
  <c r="B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L20" i="17"/>
  <c r="V20" i="20"/>
  <c r="X20" i="16"/>
  <c r="AL20" i="11"/>
  <c r="AM20" i="21"/>
  <c r="G20" i="12"/>
  <c r="Q20" i="17"/>
  <c r="R20" i="16"/>
  <c r="AO20" i="11"/>
  <c r="N20" i="17"/>
  <c r="AC20" i="17"/>
  <c r="AK20" i="11"/>
  <c r="O20" i="11"/>
  <c r="H20" i="12"/>
  <c r="AU20" i="21"/>
  <c r="AO20" i="17"/>
  <c r="S20" i="17"/>
  <c r="AW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E20" i="21"/>
  <c r="M20" i="16"/>
  <c r="AP20" i="17"/>
  <c r="I20" i="11"/>
  <c r="AT20" i="11"/>
  <c r="AV20" i="17"/>
  <c r="AR20" i="17"/>
  <c r="AW20" i="17"/>
  <c r="BN20" i="16"/>
  <c r="BB20" i="16"/>
  <c r="AN20" i="17"/>
  <c r="Q20" i="21"/>
  <c r="P20" i="21"/>
  <c r="BS20" i="16"/>
  <c r="N20" i="21"/>
  <c r="H20" i="16"/>
  <c r="AK20" i="17"/>
  <c r="AT20" i="20"/>
  <c r="I20" i="16"/>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<sst xmlns="http://schemas.openxmlformats.org/spreadsheetml/2006/main" count="2102" uniqueCount="918">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</sst>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hw5hIVBL+AR+Yrg6gFZHdQHX86Vn7KvFaOOsWJnYBfQi5z/VuWsJ3yixWRdoURMbyC+fWXzp4tkevegyNV0GQ==" saltValue="if/xZVw3OTGzw3Az4iAR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6</v>
      </c>
      <c r="F10" s="225">
        <f>IF(ISNUMBER(Datos!K10),Datos!K10," - ")</f>
        <v>7</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7.8571428571428577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17.046783625730995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6</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1146</v>
      </c>
      <c r="D16" s="224">
        <f>IF(ISNUMBER(IF(D_I="SI",Datos!I16,Datos!I16+Datos!AC16)),IF(D_I="SI",Datos!I16,Datos!I16+Datos!AC16)," - ")</f>
        <v>1142</v>
      </c>
      <c r="E16" s="225">
        <f>IF(ISNUMBER(IF(D_I="SI",Datos!J16,Datos!J16+Datos!AD16)),IF(D_I="SI",Datos!J16,Datos!J16+Datos!AD16)," - ")</f>
        <v>786</v>
      </c>
      <c r="F16" s="225">
        <f>IF(ISNUMBER(IF(D_I="SI",Datos!K16,Datos!K16+Datos!AE16)),IF(D_I="SI",Datos!K16,Datos!K16+Datos!AE16)," - ")</f>
        <v>831</v>
      </c>
      <c r="G16" s="1033" t="str">
        <f>IF(Datos!E16&lt;&gt;"",Datos!E16,Datos!D16)</f>
        <v>04</v>
      </c>
      <c r="H16" s="226">
        <f>IF(ISNUMBER(IF(D_I="SI",Datos!L16,Datos!L16+Datos!AF16)),IF(D_I="SI",Datos!L16,Datos!L16+Datos!AF16)," - ")</f>
        <v>1101</v>
      </c>
      <c r="I16" s="1043" t="str">
        <f>IF(ISNUMBER(Datos!AS16/Datos!BM16),Datos!AS16/Datos!BM16," - ")</f>
        <v xml:space="preserve"> - </v>
      </c>
      <c r="J16" s="1044">
        <f>IF(ISNUMBER(Datos!BY16/Datos!CN16),Datos!BY16/Datos!CN16," - ")</f>
        <v>0</v>
      </c>
      <c r="K16" s="229">
        <f t="shared" si="3"/>
        <v>-3.9267015706806283E-2</v>
      </c>
      <c r="L16" s="1024">
        <f>IF(ISNUMBER(NºAsuntos!I16/NºAsuntos!G16),(NºAsuntos!I16/NºAsuntos!G16)*11," - ")</f>
        <v>14.574007220216606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68</v>
      </c>
      <c r="D17" s="224">
        <f>IF(ISNUMBER(IF(D_I="SI",Datos!I17,Datos!I17+Datos!AC17)),IF(D_I="SI",Datos!I17,Datos!I17+Datos!AC17)," - ")</f>
        <v>67</v>
      </c>
      <c r="E17" s="225">
        <f>IF(ISNUMBER(IF(D_I="SI",Datos!J17,Datos!J17+Datos!AD17)),IF(D_I="SI",Datos!J17,Datos!J17+Datos!AD17)," - ")</f>
        <v>119</v>
      </c>
      <c r="F17" s="225">
        <f>IF(ISNUMBER(IF(D_I="SI",Datos!K17,Datos!K17+Datos!AE17)),IF(D_I="SI",Datos!K17,Datos!K17+Datos!AE17)," - ")</f>
        <v>92</v>
      </c>
      <c r="G17" s="1033" t="str">
        <f>IF(Datos!E17&lt;&gt;"",Datos!E17,Datos!D17)</f>
        <v>37</v>
      </c>
      <c r="H17" s="226">
        <f>IF(ISNUMBER(IF(D_I="SI",Datos!L17,Datos!L17+Datos!AF17)),IF(D_I="SI",Datos!L17,Datos!L17+Datos!AF17)," - ")</f>
        <v>95</v>
      </c>
      <c r="I17" s="1043" t="str">
        <f>IF(ISNUMBER(Datos!AS17/Datos!BM17),Datos!AS17/Datos!BM17," - ")</f>
        <v xml:space="preserve"> - </v>
      </c>
      <c r="J17" s="1044" t="str">
        <f>IF(ISNUMBER((Datos!BY17+Datos!BZ17)/Datos!CN17),(Datos!BY17+Datos!BZ17)/Datos!CN17," - ")</f>
        <v xml:space="preserve"> - </v>
      </c>
      <c r="K17" s="229">
        <f t="shared" si="3"/>
        <v>0.39705882352941174</v>
      </c>
      <c r="L17" s="1024">
        <f>IF(ISNUMBER(NºAsuntos!I17/NºAsuntos!G17),(NºAsuntos!I17/NºAsuntos!G17)*11," - ")</f>
        <v>11.358695652173912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1214</v>
      </c>
      <c r="D18" s="1048">
        <f>SUBTOTAL(9,D15:D17)</f>
        <v>1209</v>
      </c>
      <c r="E18" s="1049">
        <f>SUBTOTAL(9,E15:E17)</f>
        <v>905</v>
      </c>
      <c r="F18" s="1049">
        <f>SUBTOTAL(9,F15:F17)</f>
        <v>923</v>
      </c>
      <c r="G18" s="1051" t="str">
        <f ca="1">INDIRECT(CONCATENATE("G",ROW()-1))</f>
        <v>37</v>
      </c>
      <c r="H18" s="1052">
        <f ca="1">SUMIF(G$14:G17,G18,H$14:H17)</f>
        <v>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1220</v>
      </c>
      <c r="D19" s="1070">
        <f>SUBTOTAL(9,D9:D18)</f>
        <v>1215</v>
      </c>
      <c r="E19" s="1071">
        <f>SUBTOTAL(9,E9:E18)</f>
        <v>911</v>
      </c>
      <c r="F19" s="1071">
        <f>SUBTOTAL(9,F9:F18)</f>
        <v>930</v>
      </c>
      <c r="G19" s="1072"/>
      <c r="H19" s="1073">
        <f ca="1">SUMIF(B9:B18,"TOTAL",H9:H18)</f>
        <v>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OxZY4CbmXVKfWYWVj7u/CrBhJFp1Zev333KWId+9EhRHqRwCLDqhLSIYpuPMp73f3t7sVQZ+DzbPu7/9dC2Vg==" saltValue="/6XciduJAMyWCcna6dTV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7KvpX0ZgT9J52l9SxumVahd9Uw70f22ep9UZB7ybV3ClZ2Azn7wXvEjO+LIK1DxOW7x1PA5oUNqOus781a4rg==" saltValue="/ovPh2JwR0UdzZ3fFrXf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6</v>
      </c>
      <c r="K10" s="180">
        <v>7</v>
      </c>
      <c r="L10" s="180">
        <v>5</v>
      </c>
      <c r="M10" s="180">
        <v>4</v>
      </c>
      <c r="N10" s="180">
        <v>3</v>
      </c>
      <c r="O10" s="180">
        <v>1</v>
      </c>
      <c r="P10" s="180">
        <v>0</v>
      </c>
      <c r="Q10" s="180">
        <v>1</v>
      </c>
      <c r="R10" s="180">
        <v>1</v>
      </c>
      <c r="S10" s="180">
        <v>3</v>
      </c>
      <c r="T10" s="180">
        <v>9</v>
      </c>
      <c r="U10" s="180">
        <v>6</v>
      </c>
      <c r="V10" s="180">
        <v>6</v>
      </c>
      <c r="W10" s="180">
        <v>4</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9</v>
      </c>
      <c r="BA10" s="129">
        <f t="shared" si="0"/>
        <v>6</v>
      </c>
      <c r="BB10" s="129">
        <f t="shared" si="0"/>
        <v>6</v>
      </c>
      <c r="BC10" s="125">
        <f t="shared" si="0"/>
        <v>4</v>
      </c>
      <c r="BD10" s="126">
        <f>IF(ISNUMBER(BA10/AZ10),BA10/AZ10," - ")</f>
        <v>0.66666666666666663</v>
      </c>
      <c r="BE10" s="127">
        <f>IF(ISNUMBER(BB10/BA10),BB10/BA10, " - ")</f>
        <v>1</v>
      </c>
      <c r="BF10" s="127">
        <f>IF(ISNUMBER(BC10/BA10),BC10/BA10, " - ")</f>
        <v>0.66666666666666663</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1283</v>
      </c>
      <c r="J12" s="182">
        <v>750</v>
      </c>
      <c r="K12" s="182">
        <v>813</v>
      </c>
      <c r="L12" s="182">
        <v>1220</v>
      </c>
      <c r="M12" s="182">
        <v>98</v>
      </c>
      <c r="N12" s="182">
        <v>489</v>
      </c>
      <c r="O12" s="180">
        <v>353</v>
      </c>
      <c r="P12" s="182">
        <v>239</v>
      </c>
      <c r="Q12" s="182">
        <v>71</v>
      </c>
      <c r="R12" s="182">
        <v>1140</v>
      </c>
      <c r="S12" s="182">
        <v>847</v>
      </c>
      <c r="T12" s="182">
        <v>958</v>
      </c>
      <c r="U12" s="182">
        <v>546</v>
      </c>
      <c r="V12" s="182">
        <v>1283</v>
      </c>
      <c r="W12" s="182">
        <v>89</v>
      </c>
      <c r="X12" s="188">
        <v>402</v>
      </c>
      <c r="Y12" s="190">
        <v>48</v>
      </c>
      <c r="Z12" s="180">
        <v>99</v>
      </c>
      <c r="AA12" s="180">
        <v>42</v>
      </c>
      <c r="AB12" s="180">
        <v>105</v>
      </c>
      <c r="AC12" s="182">
        <v>0</v>
      </c>
      <c r="AD12" s="182">
        <v>0</v>
      </c>
      <c r="AE12" s="182">
        <v>0</v>
      </c>
      <c r="AF12" s="188">
        <v>0</v>
      </c>
      <c r="AG12" s="201">
        <v>77</v>
      </c>
      <c r="AH12" s="182">
        <v>87</v>
      </c>
      <c r="AI12" s="182">
        <v>119</v>
      </c>
      <c r="AJ12" s="202">
        <v>48</v>
      </c>
      <c r="AK12" s="181">
        <v>0</v>
      </c>
      <c r="AL12" s="182">
        <v>0</v>
      </c>
      <c r="AM12" s="182">
        <v>0</v>
      </c>
      <c r="AN12" s="188">
        <v>0</v>
      </c>
      <c r="AO12" s="258">
        <v>1</v>
      </c>
      <c r="AP12" s="154">
        <v>1</v>
      </c>
      <c r="AQ12" s="154">
        <v>1</v>
      </c>
      <c r="AR12" s="153">
        <v>1</v>
      </c>
      <c r="AS12" s="339" t="s">
        <v>794</v>
      </c>
      <c r="AT12" s="202"/>
      <c r="AU12" s="201"/>
      <c r="AV12" s="202"/>
      <c r="AW12" s="201"/>
      <c r="AX12" s="202"/>
      <c r="AY12" s="126">
        <f t="shared" si="1"/>
        <v>924</v>
      </c>
      <c r="AZ12" s="127">
        <f t="shared" si="1"/>
        <v>1045</v>
      </c>
      <c r="BA12" s="127">
        <f t="shared" si="1"/>
        <v>665</v>
      </c>
      <c r="BB12" s="127">
        <f t="shared" si="1"/>
        <v>1331</v>
      </c>
      <c r="BC12" s="125">
        <f>IF(ISNUMBER(X12),X12," - ")</f>
        <v>402</v>
      </c>
      <c r="BD12" s="126">
        <f t="shared" si="2"/>
        <v>0.63636363636363635</v>
      </c>
      <c r="BE12" s="127">
        <f t="shared" si="3"/>
        <v>2.0015037593984961</v>
      </c>
      <c r="BF12" s="127">
        <f t="shared" si="4"/>
        <v>0.60451127819548878</v>
      </c>
      <c r="BG12" s="195">
        <f t="shared" si="5"/>
        <v>2.9609022556390978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1289</v>
      </c>
      <c r="J13" s="183">
        <f t="shared" si="6"/>
        <v>756</v>
      </c>
      <c r="K13" s="183">
        <f t="shared" si="6"/>
        <v>820</v>
      </c>
      <c r="L13" s="183">
        <f t="shared" si="6"/>
        <v>1225</v>
      </c>
      <c r="M13" s="183">
        <f t="shared" si="6"/>
        <v>102</v>
      </c>
      <c r="N13" s="183">
        <f t="shared" si="6"/>
        <v>492</v>
      </c>
      <c r="O13" s="183">
        <f t="shared" si="6"/>
        <v>354</v>
      </c>
      <c r="P13" s="183">
        <f t="shared" si="6"/>
        <v>239</v>
      </c>
      <c r="Q13" s="183">
        <f t="shared" si="6"/>
        <v>72</v>
      </c>
      <c r="R13" s="183">
        <f t="shared" si="6"/>
        <v>1141</v>
      </c>
      <c r="S13" s="183">
        <f t="shared" si="6"/>
        <v>850</v>
      </c>
      <c r="T13" s="183">
        <f t="shared" si="6"/>
        <v>967</v>
      </c>
      <c r="U13" s="183">
        <f t="shared" si="6"/>
        <v>552</v>
      </c>
      <c r="V13" s="183">
        <f t="shared" si="6"/>
        <v>1289</v>
      </c>
      <c r="W13" s="183">
        <f t="shared" si="6"/>
        <v>93</v>
      </c>
      <c r="X13" s="183">
        <f t="shared" si="6"/>
        <v>404</v>
      </c>
      <c r="Y13" s="183">
        <f t="shared" si="6"/>
        <v>48</v>
      </c>
      <c r="Z13" s="183">
        <f t="shared" si="6"/>
        <v>99</v>
      </c>
      <c r="AA13" s="183">
        <f t="shared" si="6"/>
        <v>42</v>
      </c>
      <c r="AB13" s="183">
        <f t="shared" si="6"/>
        <v>105</v>
      </c>
      <c r="AC13" s="183">
        <f t="shared" si="6"/>
        <v>0</v>
      </c>
      <c r="AD13" s="183">
        <f t="shared" si="6"/>
        <v>0</v>
      </c>
      <c r="AE13" s="183">
        <f t="shared" si="6"/>
        <v>0</v>
      </c>
      <c r="AF13" s="183">
        <f>SUBTOTAL(9,AF9:AF12)</f>
        <v>0</v>
      </c>
      <c r="AG13" s="183">
        <f t="shared" ref="AG13:AT13" si="7">SUBTOTAL(9,AG8:AG12)</f>
        <v>77</v>
      </c>
      <c r="AH13" s="183">
        <f t="shared" si="7"/>
        <v>87</v>
      </c>
      <c r="AI13" s="183">
        <f t="shared" si="7"/>
        <v>119</v>
      </c>
      <c r="AJ13" s="183">
        <f t="shared" si="7"/>
        <v>48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927</v>
      </c>
      <c r="AZ13" s="183">
        <f>SUBTOTAL(9,AZ8:AZ12)</f>
        <v>1054</v>
      </c>
      <c r="BA13" s="183">
        <f>SUBTOTAL(9,BA8:BA12)</f>
        <v>671</v>
      </c>
      <c r="BB13" s="183">
        <f>SUBTOTAL(9,BB8:BB12)</f>
        <v>1337</v>
      </c>
      <c r="BC13" s="183">
        <f>SUBTOTAL(9,BC8:BC12)</f>
        <v>406</v>
      </c>
      <c r="BD13" s="204">
        <f>IF(ISNUMBER(BA13/AZ13),BA13/AZ13," - ")</f>
        <v>0.63662239089184058</v>
      </c>
      <c r="BE13" s="205">
        <f>IF(ISNUMBER(BB13/BA13),BB13/BA13, " - ")</f>
        <v>1.992548435171386</v>
      </c>
      <c r="BF13" s="205">
        <f>IF(ISNUMBER(BC13/BA13),BC13/BA13, " - ")</f>
        <v>0.60506706408345756</v>
      </c>
      <c r="BG13" s="206">
        <f>IF(ISNUMBER((AY13+AZ13)/BA13),(AY13+AZ13)/BA13," - ")</f>
        <v>2.9523099850968704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1142</v>
      </c>
      <c r="J16" s="182">
        <v>786</v>
      </c>
      <c r="K16" s="182">
        <v>831</v>
      </c>
      <c r="L16" s="182">
        <v>1101</v>
      </c>
      <c r="M16" s="182">
        <v>50</v>
      </c>
      <c r="N16" s="182">
        <v>664</v>
      </c>
      <c r="O16" s="180">
        <v>6</v>
      </c>
      <c r="P16" s="182">
        <v>6</v>
      </c>
      <c r="Q16" s="182">
        <v>14</v>
      </c>
      <c r="R16" s="182">
        <v>18</v>
      </c>
      <c r="S16" s="182">
        <v>680</v>
      </c>
      <c r="T16" s="182">
        <v>956</v>
      </c>
      <c r="U16" s="182">
        <v>532</v>
      </c>
      <c r="V16" s="182">
        <v>1142</v>
      </c>
      <c r="W16" s="182">
        <v>41</v>
      </c>
      <c r="X16" s="188">
        <v>352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680</v>
      </c>
      <c r="AZ16" s="127">
        <f t="shared" si="9"/>
        <v>956</v>
      </c>
      <c r="BA16" s="127">
        <f t="shared" si="9"/>
        <v>532</v>
      </c>
      <c r="BB16" s="127">
        <f t="shared" si="9"/>
        <v>1142</v>
      </c>
      <c r="BC16" s="125">
        <f>IF(ISNUMBER(W16),W16," - ")</f>
        <v>41</v>
      </c>
      <c r="BD16" s="126">
        <f t="shared" ref="BD16" si="11">IF(ISNUMBER(BA16/AZ16),BA16/AZ16," - ")</f>
        <v>0.55648535564853552</v>
      </c>
      <c r="BE16" s="127">
        <f t="shared" ref="BE16" si="12">IF(ISNUMBER(BB16/BA16),BB16/BA16, " - ")</f>
        <v>2.1466165413533833</v>
      </c>
      <c r="BF16" s="127">
        <f t="shared" ref="BF16" si="13">IF(ISNUMBER(BC16/BA16),BC16/BA16, " - ")</f>
        <v>7.7067669172932327E-2</v>
      </c>
      <c r="BG16" s="195">
        <f t="shared" si="10"/>
        <v>3.0751879699248121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67</v>
      </c>
      <c r="J17" s="182">
        <v>119</v>
      </c>
      <c r="K17" s="182">
        <v>92</v>
      </c>
      <c r="L17" s="182">
        <v>95</v>
      </c>
      <c r="M17" s="182">
        <v>6</v>
      </c>
      <c r="N17" s="182">
        <v>75</v>
      </c>
      <c r="O17" s="182">
        <v>0</v>
      </c>
      <c r="P17" s="182">
        <v>0</v>
      </c>
      <c r="Q17" s="182">
        <v>0</v>
      </c>
      <c r="R17" s="182">
        <v>0</v>
      </c>
      <c r="S17" s="182">
        <v>61</v>
      </c>
      <c r="T17" s="182">
        <v>109</v>
      </c>
      <c r="U17" s="182">
        <v>103</v>
      </c>
      <c r="V17" s="182">
        <v>67</v>
      </c>
      <c r="W17" s="182">
        <v>3</v>
      </c>
      <c r="X17" s="188">
        <v>89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61</v>
      </c>
      <c r="AZ17" s="129">
        <f t="shared" si="14"/>
        <v>109</v>
      </c>
      <c r="BA17" s="129">
        <f t="shared" si="14"/>
        <v>103</v>
      </c>
      <c r="BB17" s="129">
        <f t="shared" si="14"/>
        <v>67</v>
      </c>
      <c r="BC17" s="125">
        <f>IF(ISNUMBER(W17),W17," - ")</f>
        <v>3</v>
      </c>
      <c r="BD17" s="126">
        <f>IF(ISNUMBER(BA17/AZ17),BA17/AZ17," - ")</f>
        <v>0.94495412844036697</v>
      </c>
      <c r="BE17" s="127">
        <f>IF(ISNUMBER(BB17/BA17),BB17/BA17, " - ")</f>
        <v>0.65048543689320393</v>
      </c>
      <c r="BF17" s="127">
        <f>IF(ISNUMBER(BC17/BA17),BC17/BA17, " - ")</f>
        <v>2.9126213592233011E-2</v>
      </c>
      <c r="BG17" s="195">
        <f>IF(ISNUMBER((AY17+AZ17)/BA17),(AY17+AZ17)/BA17," - ")</f>
        <v>1.6504854368932038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1209</v>
      </c>
      <c r="J18" s="183">
        <f t="shared" si="15"/>
        <v>905</v>
      </c>
      <c r="K18" s="183">
        <f t="shared" si="15"/>
        <v>923</v>
      </c>
      <c r="L18" s="183">
        <f t="shared" si="15"/>
        <v>1196</v>
      </c>
      <c r="M18" s="183">
        <f t="shared" si="15"/>
        <v>56</v>
      </c>
      <c r="N18" s="183">
        <f t="shared" si="15"/>
        <v>739</v>
      </c>
      <c r="O18" s="183">
        <f t="shared" si="15"/>
        <v>6</v>
      </c>
      <c r="P18" s="183">
        <f t="shared" si="15"/>
        <v>6</v>
      </c>
      <c r="Q18" s="183">
        <f t="shared" si="15"/>
        <v>14</v>
      </c>
      <c r="R18" s="183">
        <f t="shared" si="15"/>
        <v>18</v>
      </c>
      <c r="S18" s="183">
        <f t="shared" si="15"/>
        <v>741</v>
      </c>
      <c r="T18" s="183">
        <f t="shared" si="15"/>
        <v>1065</v>
      </c>
      <c r="U18" s="183">
        <f t="shared" si="15"/>
        <v>635</v>
      </c>
      <c r="V18" s="183">
        <f t="shared" si="15"/>
        <v>1209</v>
      </c>
      <c r="W18" s="183">
        <f t="shared" si="15"/>
        <v>44</v>
      </c>
      <c r="X18" s="183">
        <f t="shared" si="15"/>
        <v>441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741</v>
      </c>
      <c r="AZ18" s="183">
        <f>SUBTOTAL(9,AZ14:AZ17)</f>
        <v>1065</v>
      </c>
      <c r="BA18" s="183">
        <f>SUBTOTAL(9,BA14:BA17)</f>
        <v>635</v>
      </c>
      <c r="BB18" s="183">
        <f>SUBTOTAL(9,BB14:BB17)</f>
        <v>1209</v>
      </c>
      <c r="BC18" s="183">
        <f>SUBTOTAL(9,BC14:BC17)</f>
        <v>44</v>
      </c>
      <c r="BD18" s="204">
        <f>IF(ISNUMBER(BA18/AZ18),BA18/AZ18," - ")</f>
        <v>0.59624413145539901</v>
      </c>
      <c r="BE18" s="205">
        <f>IF(ISNUMBER(BB18/BA18),BB18/BA18, " - ")</f>
        <v>1.9039370078740157</v>
      </c>
      <c r="BF18" s="205">
        <f>IF(ISNUMBER(BC18/BA18),BC18/BA18, " - ")</f>
        <v>6.9291338582677164E-2</v>
      </c>
      <c r="BG18" s="206">
        <f>IF(ISNUMBER((AY18+AZ18)/BA18),(AY18+AZ18)/BA18," - ")</f>
        <v>2.8440944881889765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2498</v>
      </c>
      <c r="J19" s="134">
        <f t="shared" si="18"/>
        <v>1661</v>
      </c>
      <c r="K19" s="134">
        <f t="shared" si="18"/>
        <v>1743</v>
      </c>
      <c r="L19" s="134">
        <f t="shared" si="18"/>
        <v>2421</v>
      </c>
      <c r="M19" s="134">
        <f t="shared" si="18"/>
        <v>158</v>
      </c>
      <c r="N19" s="134">
        <f t="shared" si="18"/>
        <v>1231</v>
      </c>
      <c r="O19" s="134">
        <f t="shared" si="18"/>
        <v>360</v>
      </c>
      <c r="P19" s="134">
        <f t="shared" si="18"/>
        <v>245</v>
      </c>
      <c r="Q19" s="134">
        <f t="shared" si="18"/>
        <v>86</v>
      </c>
      <c r="R19" s="134">
        <f t="shared" si="18"/>
        <v>1159</v>
      </c>
      <c r="S19" s="134">
        <f t="shared" si="18"/>
        <v>1591</v>
      </c>
      <c r="T19" s="134">
        <f t="shared" si="18"/>
        <v>2032</v>
      </c>
      <c r="U19" s="134">
        <f t="shared" si="18"/>
        <v>1187</v>
      </c>
      <c r="V19" s="134">
        <f t="shared" si="18"/>
        <v>2498</v>
      </c>
      <c r="W19" s="134">
        <f t="shared" si="18"/>
        <v>137</v>
      </c>
      <c r="X19" s="134">
        <f t="shared" si="18"/>
        <v>845</v>
      </c>
      <c r="Y19" s="134">
        <f t="shared" si="18"/>
        <v>48</v>
      </c>
      <c r="Z19" s="134">
        <f t="shared" si="18"/>
        <v>99</v>
      </c>
      <c r="AA19" s="134">
        <f t="shared" si="18"/>
        <v>42</v>
      </c>
      <c r="AB19" s="134">
        <f t="shared" si="18"/>
        <v>105</v>
      </c>
      <c r="AC19" s="134">
        <f t="shared" si="18"/>
        <v>0</v>
      </c>
      <c r="AD19" s="134">
        <f t="shared" si="18"/>
        <v>0</v>
      </c>
      <c r="AE19" s="134">
        <f t="shared" si="18"/>
        <v>0</v>
      </c>
      <c r="AF19" s="134">
        <f t="shared" si="18"/>
        <v>0</v>
      </c>
      <c r="AG19" s="134">
        <f t="shared" si="18"/>
        <v>77</v>
      </c>
      <c r="AH19" s="134">
        <f t="shared" si="18"/>
        <v>87</v>
      </c>
      <c r="AI19" s="134">
        <f t="shared" si="18"/>
        <v>119</v>
      </c>
      <c r="AJ19" s="134">
        <f t="shared" si="18"/>
        <v>48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1668</v>
      </c>
      <c r="AZ19" s="134">
        <f>SUBTOTAL(9,AZ9:AZ18)</f>
        <v>2119</v>
      </c>
      <c r="BA19" s="134">
        <f>SUBTOTAL(9,BA9:BA18)</f>
        <v>1306</v>
      </c>
      <c r="BB19" s="134">
        <f>SUBTOTAL(9,BB9:BB18)</f>
        <v>2546</v>
      </c>
      <c r="BC19" s="135">
        <f>SUBTOTAL(9,BC9:BC18)</f>
        <v>450</v>
      </c>
      <c r="BD19" s="212">
        <f>IF(ISNUMBER(BA19/AZ19),BA19/AZ19," - ")</f>
        <v>0.61632845681925441</v>
      </c>
      <c r="BE19" s="209">
        <f>IF(ISNUMBER(BB19/BA19),BB19/BA19, " - ")</f>
        <v>1.9494640122511486</v>
      </c>
      <c r="BF19" s="209">
        <f>IF(ISNUMBER(BC19/BA19),BC19/BA19, " - ")</f>
        <v>0.3445635528330781</v>
      </c>
      <c r="BG19" s="135">
        <f>IF(ISNUMBER((AY19+AZ19)/BA19),(AY19+AZ19)/BA19," - ")</f>
        <v>2.8996937212863707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8rEIbgYHc2BHcmaujr3Zc4L6fwH0Qm94cAl/moI6T6NSIqqWnc54Qns9CelS7w74BLaTg4kNlhchAgxolzR8Q==" saltValue="CVPQ54JyE+mPwGmsdIAZ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tD4sD16+R8v93Kb83we6+i13mUPyKljGC7qawJgdvkNPNw4Mm/Fb463CkF+QBPcSI9eAHpfJIZ+4BqdzczXIA==" saltValue="DvJ0D5vh8FOP/wBK+M6l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CAZALLA DE LA SIERRA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1</v>
      </c>
      <c r="AD10" s="333"/>
      <c r="AE10" s="483"/>
      <c r="AF10" s="331">
        <f>IF(ISNUMBER(Datos!L10),Datos!L10,"-")</f>
        <v>5</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3</v>
      </c>
      <c r="BE10" s="228" t="str">
        <f>IF(ISNUMBER(Datos!BW10),Datos!BW10," - ")</f>
        <v xml:space="preserve"> - </v>
      </c>
      <c r="BF10" s="227" t="str">
        <f>IF(ISNUMBER(Datos!BX10),Datos!BX10," - ")</f>
        <v xml:space="preserve"> - </v>
      </c>
      <c r="BG10" s="242">
        <f>IF(ISNUMBER(Datos!K10/Datos!J10),Datos!K10/Datos!J10," - ")</f>
        <v>1.1666666666666667</v>
      </c>
      <c r="BH10" s="259">
        <f>IF(ISNUMBER(((Datos!L10/Datos!K10)*11)/factor_trimestre),((Datos!L10/Datos!K10)*11)/factor_trimestre," - ")</f>
        <v>7.8571428571428577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99</v>
      </c>
      <c r="O12" s="333"/>
      <c r="P12" s="333"/>
      <c r="Q12" s="225">
        <f>IF(ISNUMBER(Datos!P12),Datos!P12,0)</f>
        <v>239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1140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98</v>
      </c>
      <c r="BD12" s="228">
        <f>IF(ISNUMBER(Datos!N12),Datos!N12," - ")</f>
        <v>489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1.0070671378091873</v>
      </c>
      <c r="BH12" s="259">
        <f>IF(ISNUMBER(((IF(J_V="SI",Datos!L12/Datos!K12,(Datos!L12+Datos!AB12)/(Datos!K12+Datos!AA12)))*11)/factor_trimestre),((IF(J_V="SI",Datos!L12/Datos!K12,(Datos!L12+Datos!AB12)/(Datos!K12+Datos!AA12)))*11)/factor_trimestre," - ")</f>
        <v>17.046783625730995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0.1728395061728395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99</v>
      </c>
      <c r="O13" s="899">
        <f t="shared" si="0"/>
        <v>0</v>
      </c>
      <c r="P13" s="899">
        <f t="shared" si="0"/>
        <v>0</v>
      </c>
      <c r="Q13" s="898">
        <f t="shared" si="0"/>
        <v>239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72</v>
      </c>
      <c r="AD13" s="898">
        <f t="shared" si="1"/>
        <v>0</v>
      </c>
      <c r="AE13" s="898">
        <f t="shared" si="1"/>
        <v>0</v>
      </c>
      <c r="AF13" s="898">
        <f t="shared" si="1"/>
        <v>5</v>
      </c>
      <c r="AG13" s="898">
        <f t="shared" si="1"/>
        <v>0</v>
      </c>
      <c r="AH13" s="898">
        <f t="shared" si="1"/>
        <v>105</v>
      </c>
      <c r="AI13" s="898">
        <f t="shared" si="1"/>
        <v>0</v>
      </c>
      <c r="AJ13" s="898">
        <f t="shared" si="1"/>
        <v>0</v>
      </c>
      <c r="AK13" s="898">
        <f t="shared" si="1"/>
        <v>0</v>
      </c>
      <c r="AL13" s="898">
        <f t="shared" si="1"/>
        <v>0</v>
      </c>
      <c r="AM13" s="898">
        <f t="shared" si="1"/>
        <v>1141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v>
      </c>
      <c r="BD13" s="898">
        <f t="shared" si="1"/>
        <v>492</v>
      </c>
      <c r="BE13" s="898">
        <f t="shared" si="1"/>
        <v>0</v>
      </c>
      <c r="BF13" s="898">
        <f t="shared" si="1"/>
        <v>0</v>
      </c>
      <c r="BG13" s="898">
        <f>IF(ISNUMBER(Datos!K13/Datos!J13),Datos!K13/Datos!J13," - ")</f>
        <v>1.0846560846560847</v>
      </c>
      <c r="BH13" s="902">
        <f>IF(ISNUMBER(((Datos!L13/Datos!K13)*11)/factor_trimestre),((Datos!L13/Datos!K13)*11)/factor_trimestre," - ")</f>
        <v>16.432926829268293</v>
      </c>
      <c r="BI13" s="898">
        <f>IF(ISNUMBER('Resol  Asuntos'!D13/NºAsuntos!G13),'Resol  Asuntos'!D13/NºAsuntos!G13," - ")</f>
        <v>0.11832946635730858</v>
      </c>
      <c r="BJ13" s="898" t="str">
        <f>IF(ISNUMBER(Datos!CI13/Datos!CJ13),Datos!CI13/Datos!CJ13," - ")</f>
        <v xml:space="preserve"> - </v>
      </c>
      <c r="BK13" s="898">
        <f>SUBTOTAL(9,BK8:BK12)</f>
        <v>0</v>
      </c>
      <c r="BL13" s="898">
        <f>IF(ISNUMBER((I13-AB13+L13)/(F13)),(I13-AB13+L13)/(F13)," - ")</f>
        <v>-1.1666666666666667</v>
      </c>
      <c r="BM13" s="903">
        <f>SUBTOTAL(9,BM9:BM12)</f>
        <v>-0.3271604938271605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1146</v>
      </c>
      <c r="G16" s="597">
        <f>IF(ISNUMBER(IF(D_I="SI",Datos!I16,Datos!I16+Datos!AC16)),IF(D_I="SI",Datos!I16,Datos!I16+Datos!AC16)," - ")</f>
        <v>1142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831</v>
      </c>
      <c r="AC16" s="225">
        <f>IF(ISNUMBER(Datos!Q16),Datos!Q16," - ")</f>
        <v>14</v>
      </c>
      <c r="AD16" s="333"/>
      <c r="AE16" s="483"/>
      <c r="AF16" s="595">
        <f>IF(ISNUMBER(IF(D_I="SI",Datos!L16,Datos!L16+Datos!AF16)),IF(D_I="SI",Datos!L16,Datos!L16+Datos!AF16)," - ")</f>
        <v>1101</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50</v>
      </c>
      <c r="BD16" s="228">
        <f>IF(ISNUMBER(Datos!N16),Datos!N16," - ")</f>
        <v>664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1.0572519083969465</v>
      </c>
      <c r="BH16" s="259">
        <f>IF(ISNUMBER(((IF(D_I="SI",Datos!L16/Datos!K16,(Datos!L16+Datos!AF16)/(Datos!K16+Datos!AE16)))*11)/factor_trimestre),((IF(D_I="SI",Datos!L16/Datos!K16,(Datos!L16+Datos!AF16)/(Datos!K16+Datos!AE16)))*11)/factor_trimestre," - ")</f>
        <v>14.574007220216606</v>
      </c>
      <c r="BI16" s="242">
        <f>IF(ISNUMBER('Resol  Asuntos'!D16/NºAsuntos!G16),'Resol  Asuntos'!D16/NºAsuntos!G16," - ")</f>
        <v>6.0168471720818288E-2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92</v>
      </c>
      <c r="AC17" s="225">
        <f>IF(ISNUMBER(Datos!Q17),Datos!Q17," - ")</f>
        <v>0</v>
      </c>
      <c r="AD17" s="333"/>
      <c r="AE17" s="483"/>
      <c r="AF17" s="331">
        <f>IF(ISNUMBER(Datos!L17),Datos!L17,"-")</f>
        <v>95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75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0.77310924369747902</v>
      </c>
      <c r="BH17" s="259">
        <f>IF(ISNUMBER(((IF(D_I="SI",Datos!L17/Datos!K17,(Datos!L17+Datos!AF17)/(Datos!K17+Datos!AE17)))*11)/factor_trimestre),((IF(D_I="SI",Datos!L17/Datos!K17,(Datos!L17+Datos!AF17)/(Datos!K17+Datos!AE17)))*11)/factor_trimestre," - ")</f>
        <v>11.358695652173912</v>
      </c>
      <c r="BI17" s="242">
        <f>IF(ISNUMBER('Resol  Asuntos'!D17/NºAsuntos!G17),'Resol  Asuntos'!D17/NºAsuntos!G17," - ")</f>
        <v>6.5217391304347824E-2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1146</v>
      </c>
      <c r="G18" s="897">
        <f>SUBTOTAL(9,G15:G17)</f>
        <v>1209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923</v>
      </c>
      <c r="AC18" s="898">
        <f t="shared" si="4"/>
        <v>14</v>
      </c>
      <c r="AD18" s="898">
        <f t="shared" si="4"/>
        <v>0</v>
      </c>
      <c r="AE18" s="898">
        <f t="shared" si="4"/>
        <v>0</v>
      </c>
      <c r="AF18" s="898">
        <f t="shared" si="4"/>
        <v>1196</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56</v>
      </c>
      <c r="BD18" s="898">
        <f t="shared" si="4"/>
        <v>739</v>
      </c>
      <c r="BE18" s="898">
        <f t="shared" si="4"/>
        <v>0</v>
      </c>
      <c r="BF18" s="898">
        <f t="shared" si="4"/>
        <v>0</v>
      </c>
      <c r="BG18" s="898">
        <f>IF(ISNUMBER(Datos!K18/Datos!J18),Datos!K18/Datos!J18," - ")</f>
        <v>1.0198895027624308</v>
      </c>
      <c r="BH18" s="902">
        <f>IF(ISNUMBER(((Datos!L18/Datos!K18)*11)/factor_trimestre),((Datos!L18/Datos!K18)*11)/factor_trimestre," - ")</f>
        <v>14.253521126760564</v>
      </c>
      <c r="BI18" s="898">
        <f>SUBTOTAL(9,BI15:BI17)</f>
        <v>0.12538586302516611</v>
      </c>
      <c r="BJ18" s="898">
        <f>SUBTOTAL(9,BJ15:BJ17)</f>
        <v>0</v>
      </c>
      <c r="BK18" s="898">
        <f>SUBTOTAL(9,BK15:BK17)</f>
        <v>0</v>
      </c>
      <c r="BL18" s="898">
        <f>IF(ISNUMBER((I18-AB18+L18)/(F18)),(I18-AB18+L18)/(F18)," - ")</f>
        <v>-0.80541012216404884</v>
      </c>
      <c r="BM18" s="904">
        <f>IF(ISNUMBER((Datos!P18-Datos!Q18)/(Datos!R18-Datos!P18+Datos!Q18)),(Datos!P18-Datos!Q18)/(Datos!R18-Datos!P18+Datos!Q18)," - ")</f>
        <v>-0.30769230769230771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1152</v>
      </c>
      <c r="G19" s="819">
        <f t="shared" si="6"/>
        <v>1215</v>
      </c>
      <c r="H19" s="821">
        <f t="shared" si="6"/>
        <v>0</v>
      </c>
      <c r="I19" s="819">
        <f t="shared" si="6"/>
        <v>0</v>
      </c>
      <c r="J19" s="821">
        <f t="shared" si="6"/>
        <v>0</v>
      </c>
      <c r="K19" s="821">
        <f t="shared" si="6"/>
        <v>0</v>
      </c>
      <c r="L19" s="880">
        <f t="shared" si="6"/>
        <v>0</v>
      </c>
      <c r="M19" s="880">
        <f t="shared" si="6"/>
        <v>0</v>
      </c>
      <c r="N19" s="880">
        <f t="shared" si="6"/>
        <v>99</v>
      </c>
      <c r="O19" s="880">
        <f t="shared" si="6"/>
        <v>0</v>
      </c>
      <c r="P19" s="880">
        <f t="shared" si="6"/>
        <v>0</v>
      </c>
      <c r="Q19" s="821">
        <f t="shared" si="6"/>
        <v>245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930</v>
      </c>
      <c r="AC19" s="820">
        <f t="shared" si="7"/>
        <v>86</v>
      </c>
      <c r="AD19" s="820">
        <f t="shared" si="7"/>
        <v>0</v>
      </c>
      <c r="AE19" s="820">
        <f t="shared" si="7"/>
        <v>0</v>
      </c>
      <c r="AF19" s="827">
        <f t="shared" si="7"/>
        <v>1201</v>
      </c>
      <c r="AG19" s="827">
        <f t="shared" si="7"/>
        <v>0</v>
      </c>
      <c r="AH19" s="827">
        <f t="shared" si="7"/>
        <v>105</v>
      </c>
      <c r="AI19" s="827">
        <f t="shared" si="7"/>
        <v>0</v>
      </c>
      <c r="AJ19" s="820">
        <f t="shared" si="7"/>
        <v>0</v>
      </c>
      <c r="AK19" s="827">
        <f t="shared" si="7"/>
        <v>0</v>
      </c>
      <c r="AL19" s="827">
        <f t="shared" si="7"/>
        <v>0</v>
      </c>
      <c r="AM19" s="827">
        <f t="shared" si="7"/>
        <v>1159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158</v>
      </c>
      <c r="BD19" s="819">
        <f t="shared" si="7"/>
        <v>1231</v>
      </c>
      <c r="BE19" s="819">
        <f t="shared" si="7"/>
        <v>0</v>
      </c>
      <c r="BF19" s="829">
        <f t="shared" si="7"/>
        <v>0</v>
      </c>
      <c r="BG19" s="914">
        <f>IF(ISNUMBER(Datos!K19/Datos!J19),Datos!K19/Datos!J19," - ")</f>
        <v>1.0493678506923541</v>
      </c>
      <c r="BH19" s="914">
        <f>IF(ISNUMBER(((Datos!L19/Datos!K19)*11)/factor_trimestre),((Datos!L19/Datos!K19)*11)/factor_trimestre," - ")</f>
        <v>15.278829604130809</v>
      </c>
      <c r="BI19" s="812">
        <f>IF(ISNUMBER(Datos!J19/Datos!I19),Datos!J19/Datos!I19," - ")</f>
        <v>0.66493194555644519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-0.80729166666666663</v>
      </c>
      <c r="BM19" s="888">
        <f>IF(ISNUMBER((Datos!P19-Datos!Q19+R19)/(Datos!R19-Datos!P19+Datos!Q19-R19)),(Datos!P19-Datos!Q19+R19)/(Datos!R19-Datos!P19+Datos!Q19-R19)," - ")</f>
        <v>0.159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658.17930687617343</v>
      </c>
      <c r="G21" s="551">
        <f>IF(ISNUMBER(STDEV(G8:G18)),STDEV(G8:G18),"-")</f>
        <v>630.36219747062876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463.44686858365975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42.551929059287858</v>
      </c>
      <c r="BD21" s="550"/>
      <c r="BE21" s="550">
        <f>IF(ISNUMBER(STDEV(BE8:BE18)),STDEV(BE8:BE18),"-")</f>
        <v>0</v>
      </c>
      <c r="BF21" s="555">
        <f>IF(ISNUMBER(STDEV(BF8:BF18)),STDEV(BF8:BF18),"-")</f>
        <v>0</v>
      </c>
      <c r="BG21" s="774">
        <f>IF(ISNUMBER(STDEV(BG8:BG18)),STDEV(BG8:BG18),"-")</f>
        <v>0.13280062917643543</v>
      </c>
      <c r="BH21" s="775">
        <f>IF(ISNUMBER(STDEV(BH8:BH18)),STDEV(BH8:BH18),"-")</f>
        <v>3.4433831872233438</v>
      </c>
      <c r="BI21" s="248">
        <f>IF(ISNUMBER(STDEV(BI8:BI18)),STDEV(BI8:BI18),"-")</f>
        <v>3.4341946234640909E-2</v>
      </c>
      <c r="BJ21" s="229" t="str">
        <f>IF(ISNUMBER(BL21/BM21),BL21/BM21," - ")</f>
        <v xml:space="preserve"> - </v>
      </c>
      <c r="BK21" s="574"/>
      <c r="BL21" s="558">
        <f>IF(ISNUMBER(STDEV(BL8:BL18)),STDEV(BL8:BL18),"-")</f>
        <v>0.25544695236582116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69pmaN3lXbSq3hWTBJDU21WhuOHqH3dGTM9rZ+kJ/0kkI1vYOGjW/LBNwvtHuJ2jnNyCjSA9FVkjwW6NpLNCw==" saltValue="0g03dLg3c6KOH0/QxulQ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CAZALLA DE LA SIERRA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1</v>
      </c>
      <c r="AA10" s="331">
        <f>IF(ISNUMBER(Datos!L10),Datos!L10,"-")</f>
        <v>5</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4</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7.8571428571428577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71</v>
      </c>
      <c r="AA12" s="331" t="str">
        <f>IF(ISNUMBER(IF(J_V="SI",Datos!L12,Datos!L12+Datos!AB12)-IF(Monitorios="SI",Datos!CD12,0)),
                          IF(J_V="SI",Datos!L12,Datos!L12+Datos!AB12)-IF(Monitorios="SI",Datos!CD12,0),
                          " - ")</f>
        <v xml:space="preserve"> - </v>
      </c>
      <c r="AB12" s="333"/>
      <c r="AC12" s="333"/>
      <c r="AD12" s="483"/>
      <c r="AE12" s="483">
        <f>IF(ISNUMBER(Datos!R12),Datos!R12," - ")</f>
        <v>1140</v>
      </c>
      <c r="AF12" s="228" t="str">
        <f>IF(ISNUMBER(Datos!BV12),Datos!BV12," - ")</f>
        <v xml:space="preserve"> - </v>
      </c>
      <c r="AG12" s="224" t="str">
        <f>IF(ISNUMBER(Datos!DV12),Datos!DV12," - ")</f>
        <v xml:space="preserve"> - </v>
      </c>
      <c r="AH12" s="297"/>
      <c r="AI12" s="226"/>
      <c r="AJ12" s="224">
        <f>IF(ISNUMBER(Datos!M12),Datos!M12," - ")</f>
        <v>98</v>
      </c>
      <c r="AK12" s="228">
        <f>IF(ISNUMBER(Datos!N12),Datos!N12," - ")</f>
        <v>489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17.046783625730995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0.1728395061728395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239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72</v>
      </c>
      <c r="AA13" s="899">
        <f t="shared" si="2"/>
        <v>5</v>
      </c>
      <c r="AB13" s="899">
        <f t="shared" si="2"/>
        <v>0</v>
      </c>
      <c r="AC13" s="899">
        <f t="shared" si="2"/>
        <v>0</v>
      </c>
      <c r="AD13" s="899">
        <f t="shared" si="2"/>
        <v>0</v>
      </c>
      <c r="AE13" s="899">
        <f t="shared" si="2"/>
        <v>1141</v>
      </c>
      <c r="AF13" s="907">
        <f t="shared" si="2"/>
        <v>0</v>
      </c>
      <c r="AG13" s="907">
        <f t="shared" si="2"/>
        <v>0</v>
      </c>
      <c r="AH13" s="907">
        <f t="shared" si="2"/>
        <v>0</v>
      </c>
      <c r="AI13" s="907">
        <f t="shared" si="2"/>
        <v>0</v>
      </c>
      <c r="AJ13" s="907">
        <f t="shared" si="2"/>
        <v>102</v>
      </c>
      <c r="AK13" s="907">
        <f t="shared" si="2"/>
        <v>492</v>
      </c>
      <c r="AL13" s="907">
        <f t="shared" si="2"/>
        <v>0</v>
      </c>
      <c r="AM13" s="907">
        <f t="shared" si="2"/>
        <v>0</v>
      </c>
      <c r="AN13" s="907">
        <f t="shared" si="2"/>
        <v>0</v>
      </c>
      <c r="AO13" s="903">
        <f>IF(ISNUMBER(((NºAsuntos!I13/NºAsuntos!G13)*11)/factor_trimestre),((NºAsuntos!I13/NºAsuntos!G13)*11)/factor_trimestre," - ")</f>
        <v>16.972157772621809</v>
      </c>
      <c r="AP13" s="909" t="str">
        <f>IF(ISNUMBER(Datos!CI13/Datos!CJ13),Datos!CI13/Datos!CJ13," - ")</f>
        <v xml:space="preserve"> - </v>
      </c>
      <c r="AQ13" s="927">
        <f t="shared" ref="AQ13:AV13" si="3">SUBTOTAL(9,AQ9:AQ12)</f>
        <v>0</v>
      </c>
      <c r="AR13" s="927">
        <f t="shared" si="3"/>
        <v>-0.3271604938271605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1146</v>
      </c>
      <c r="G16" s="224">
        <f>IF(ISNUMBER(IF(D_I="SI",Datos!I16,Datos!I16+Datos!AC16)),IF(D_I="SI",Datos!I16,Datos!I16+Datos!AC16)," - ")</f>
        <v>1142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831</v>
      </c>
      <c r="Z16" s="618">
        <f>IF(ISNUMBER(Datos!Q16),Datos!Q16," - ")</f>
        <v>14</v>
      </c>
      <c r="AA16" s="331">
        <f>IF(ISNUMBER(IF(D_I="SI",Datos!L16,Datos!L16+Datos!AF16)),IF(D_I="SI",Datos!L16,Datos!L16+Datos!AF16)," - ")</f>
        <v>1101</v>
      </c>
      <c r="AB16" s="333"/>
      <c r="AC16" s="333"/>
      <c r="AD16" s="483"/>
      <c r="AE16" s="483">
        <f>IF(ISNUMBER(Datos!R16),Datos!R16," - ")</f>
        <v>18</v>
      </c>
      <c r="AF16" s="228" t="str">
        <f>IF(ISNUMBER(Datos!BV16),Datos!BV16," - ")</f>
        <v xml:space="preserve"> - </v>
      </c>
      <c r="AG16" s="224"/>
      <c r="AH16" s="297"/>
      <c r="AI16" s="226"/>
      <c r="AJ16" s="224">
        <f>IF(ISNUMBER(Datos!M16),Datos!M16," - ")</f>
        <v>50</v>
      </c>
      <c r="AK16" s="228">
        <f>IF(ISNUMBER(Datos!N16),Datos!N16," - ")</f>
        <v>664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14.574007220216606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92</v>
      </c>
      <c r="Z17" s="618">
        <f>IF(ISNUMBER(Datos!Q17),Datos!Q17," - ")</f>
        <v>0</v>
      </c>
      <c r="AA17" s="331">
        <f>IF(ISNUMBER(Datos!L17),Datos!L17,"-")</f>
        <v>95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75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11.358695652173912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1146</v>
      </c>
      <c r="G18" s="897">
        <f>SUBTOTAL(9,G15:G17)</f>
        <v>1209</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923</v>
      </c>
      <c r="Z18" s="931">
        <f t="shared" si="5"/>
        <v>14</v>
      </c>
      <c r="AA18" s="931">
        <f t="shared" si="5"/>
        <v>1196</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56</v>
      </c>
      <c r="AK18" s="931">
        <f t="shared" si="5"/>
        <v>739</v>
      </c>
      <c r="AL18" s="931">
        <f t="shared" si="5"/>
        <v>0</v>
      </c>
      <c r="AM18" s="931">
        <f t="shared" si="5"/>
        <v>0</v>
      </c>
      <c r="AN18" s="931">
        <f t="shared" si="5"/>
        <v>0</v>
      </c>
      <c r="AO18" s="933">
        <f>IF(ISNUMBER(((NºAsuntos!I18/NºAsuntos!G18)*11)/factor_trimestre),((NºAsuntos!I18/NºAsuntos!G18)*11)/factor_trimestre," - ")</f>
        <v>14.253521126760564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1152</v>
      </c>
      <c r="G19" s="819">
        <f t="shared" si="7"/>
        <v>1215</v>
      </c>
      <c r="H19" s="820">
        <f t="shared" si="7"/>
        <v>0</v>
      </c>
      <c r="I19" s="819">
        <f t="shared" si="7"/>
        <v>0</v>
      </c>
      <c r="J19" s="821">
        <f t="shared" si="7"/>
        <v>0</v>
      </c>
      <c r="K19" s="819">
        <f t="shared" si="7"/>
        <v>0</v>
      </c>
      <c r="L19" s="822">
        <f t="shared" si="7"/>
        <v>0</v>
      </c>
      <c r="M19" s="819">
        <f t="shared" si="7"/>
        <v>0</v>
      </c>
      <c r="N19" s="820">
        <f t="shared" si="7"/>
        <v>245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930</v>
      </c>
      <c r="Z19" s="826">
        <f t="shared" si="8"/>
        <v>86</v>
      </c>
      <c r="AA19" s="827">
        <f t="shared" si="8"/>
        <v>1201</v>
      </c>
      <c r="AB19" s="827">
        <f t="shared" si="8"/>
        <v>0</v>
      </c>
      <c r="AC19" s="827">
        <f t="shared" si="8"/>
        <v>0</v>
      </c>
      <c r="AD19" s="828">
        <f t="shared" si="8"/>
        <v>0</v>
      </c>
      <c r="AE19" s="828">
        <f t="shared" si="8"/>
        <v>1159</v>
      </c>
      <c r="AF19" s="829">
        <f t="shared" si="8"/>
        <v>0</v>
      </c>
      <c r="AG19" s="830">
        <f t="shared" si="8"/>
        <v>0</v>
      </c>
      <c r="AH19" s="831">
        <f t="shared" si="8"/>
        <v>0</v>
      </c>
      <c r="AI19" s="829">
        <f t="shared" si="8"/>
        <v>0</v>
      </c>
      <c r="AJ19" s="819">
        <f t="shared" si="8"/>
        <v>158</v>
      </c>
      <c r="AK19" s="819">
        <f t="shared" si="8"/>
        <v>1231</v>
      </c>
      <c r="AL19" s="819">
        <f t="shared" si="8"/>
        <v>0</v>
      </c>
      <c r="AM19" s="832">
        <f t="shared" si="8"/>
        <v>0</v>
      </c>
      <c r="AN19" s="822">
        <f>IF(ISNUMBER(Datos!K19/Datos!J19),Datos!K19/Datos!J19," - ")</f>
        <v>1.0493678506923541</v>
      </c>
      <c r="AO19" s="822">
        <f>IF(ISNUMBER(FIND("06",Criterios!A8,1)),(IF(ISNUMBER(((Datos!R19/Datos!Q19)*11)/factor_trimestre),((Datos!R19/Datos!Q19)*11)/factor_trimestre," - ")),(IF(ISNUMBER(((Datos!L19/Datos!K19)*11)/factor_trimestre),((Datos!L19/Datos!K19)*11)/factor_trimestre," - ")))</f>
        <v>15.278829604130809</v>
      </c>
      <c r="AP19" s="833" t="str">
        <f>IF(ISNUMBER(Datos!CI19/Datos!CJ19),Datos!CI19/Datos!CJ19," - ")</f>
        <v xml:space="preserve"> - </v>
      </c>
      <c r="AQ19" s="833">
        <f>IF(OR(ISNUMBER(FIND("01",Criterios!A8,1)),ISNUMBER(FIND("02",Criterios!A8,1)),ISNUMBER(FIND("03",Criterios!A8,1)),ISNUMBER(FIND("04",Criterios!A8,1))),(J19-Y19+K19)/(F19-K19),(I19-Y19+K19)/(F19-K19))</f>
        <v>-0.80729166666666663</v>
      </c>
      <c r="AR19" s="833">
        <f>IF(ISNUMBER((Datos!P19-Datos!Q19+O19)/(Datos!R19-Datos!P19+Datos!Q19-O19)),(Datos!P19-Datos!Q19+O19)/(Datos!R19-Datos!P19+Datos!Q19-O19)," - ")</f>
        <v>0.159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658.17930687617343</v>
      </c>
      <c r="G21" s="551">
        <f>IF(ISNUMBER(STDEV(G8:G18)),STDEV(G8:G18),"-")</f>
        <v>630.36219747062876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42.551929059287858</v>
      </c>
      <c r="AK21" s="251"/>
      <c r="AL21" s="251">
        <f>IF(ISNUMBER(STDEV(AL8:AL18)),STDEV(AL8:AL18),"-")</f>
        <v>0</v>
      </c>
      <c r="AM21" s="253">
        <f>IF(ISNUMBER(STDEV(AM8:AM18)),STDEV(AM8:AM18),"-")</f>
        <v>0</v>
      </c>
      <c r="AN21" s="538">
        <f>IF(ISNUMBER(STDEV(AN8:AN18)),STDEV(AN8:AN18),"-")</f>
        <v>0</v>
      </c>
      <c r="AO21" s="539">
        <f>IF(ISNUMBER(STDEV(AO8:AO18)),STDEV(AO8:AO18),"-")</f>
        <v>3.5382418569118359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4IllnLq1uS0FxrG10LWeH1sfyE43vWr5hs4cv233PYh0pbzp58jweGz6zNWxlPO2R15r/GWPSkAAq+lisFCgVQ==" saltValue="D4AD2N7ekYjEzORwCcIq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p3wfKcpVoJ1L1Z6NIJKwb25CwoAgAmlzZQcOd40U6fNRBAdNq0VvoIBfY8/kzClKtf0aRJX5YZzNyL8Y14IUg==" saltValue="w0K0bM+riNRv3RCRSp4j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V/0V0FjW4tlmAUpK76IefSGLfvLzHZ8aj/JgTpfkzwVrGlFExG2aH+KP336z/oEP5fkoXhgGZdB/MLRJiHkHA==" saltValue="kwCO0Gz6lyjWTJk1mK3z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CAZALLA DE LA SIERRA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0.11832946635730858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8.3671568075438338E-2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HKhttz4tYrn9Kd9z41BifkH8K/ZmZwv7x9l1+sxFOZ9WJ5Iqf7wJUxX5alU6cmVHruX+qcLwwUF7ZssK1W4WkQ==" saltValue="9BMekc8t0ujwWkR4Ii6F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jERyEsAr6Yyyih+emwne6PspiHy5vp2mXHuDJR34jt2WEwxwWSLWw7ONpqOW6C1R6N+fUQ/RnQaWWjm1IKznA==" saltValue="o9LiMWS3874WZ0QxePB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CAZALLA DE LA SIERRA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6</v>
      </c>
      <c r="F10" s="403">
        <f>IF(ISNUMBER(E10/B10),E10/B10," - ")</f>
        <v>6</v>
      </c>
      <c r="G10" s="402">
        <f>IF(ISNUMBER(Datos!K10),Datos!K10," - ")</f>
        <v>7</v>
      </c>
      <c r="H10" s="403">
        <f>IF(ISNUMBER(G10/B10),G10/B10," - ")</f>
        <v>7</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1331</v>
      </c>
      <c r="D12" s="403">
        <f>IF(ISNUMBER(C12/Datos!BH12),C12/Datos!BH12," - ")</f>
        <v>1331</v>
      </c>
      <c r="E12" s="402">
        <f>IF(ISNUMBER(IF(J_V="SI",Datos!J12,Datos!J12+Datos!Z12)),IF(J_V="SI",Datos!J12,Datos!J12+Datos!Z12)," - ")</f>
        <v>849</v>
      </c>
      <c r="F12" s="403">
        <f>IF(ISNUMBER(E12/B12),E12/B12," - ")</f>
        <v>849</v>
      </c>
      <c r="G12" s="402">
        <f>IF(ISNUMBER(IF(J_V="SI",Datos!K12,Datos!K12+Datos!AA12)),IF(J_V="SI",Datos!K12,Datos!K12+Datos!AA12)," - ")</f>
        <v>855</v>
      </c>
      <c r="H12" s="403">
        <f>IF(ISNUMBER(G12/B12),G12/B12," - ")</f>
        <v>855</v>
      </c>
      <c r="I12" s="402">
        <f>IF(ISNUMBER(IF(J_V="SI",Datos!L12,Datos!L12+Datos!AB12)),IF(J_V="SI",Datos!L12,Datos!L12+Datos!AB12)," - ")</f>
        <v>1325</v>
      </c>
      <c r="J12" s="403">
        <f>IF(ISNUMBER(I12/B12),I12/B12," - ")</f>
        <v>1325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1337</v>
      </c>
      <c r="D13" s="849" t="str">
        <f>IF(ISNUMBER(C13/Datos!BI13),C13/Datos!BI13," - ")</f>
        <v xml:space="preserve"> - </v>
      </c>
      <c r="E13" s="848">
        <f>SUBTOTAL(9,E8:E12)</f>
        <v>855</v>
      </c>
      <c r="F13" s="849">
        <f>IF(ISNUMBER(E13/B13),E13/B13," - ")</f>
        <v>855</v>
      </c>
      <c r="G13" s="848">
        <f>SUBTOTAL(9,G8:G12)</f>
        <v>862</v>
      </c>
      <c r="H13" s="849">
        <f>IF(ISNUMBER(G13/B13),G13/B13," - ")</f>
        <v>862</v>
      </c>
      <c r="I13" s="848">
        <f>SUBTOTAL(9,I8:I12)</f>
        <v>1330</v>
      </c>
      <c r="J13" s="849">
        <f>IF(ISNUMBER(I13/B13),I13/B13," - ")</f>
        <v>1330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1142</v>
      </c>
      <c r="D16" s="403">
        <f>IF(ISNUMBER(C16/Datos!BH16),C16/Datos!BH16," - ")</f>
        <v>1142</v>
      </c>
      <c r="E16" s="402">
        <f>IF(ISNUMBER(IF(D_I="SI",Datos!J16,Datos!J16+Datos!AD16)),IF(D_I="SI",Datos!J16,Datos!J16+Datos!AD16)," - ")</f>
        <v>786</v>
      </c>
      <c r="F16" s="403">
        <f>IF(ISNUMBER(E16/B16),E16/B16," - ")</f>
        <v>786</v>
      </c>
      <c r="G16" s="402">
        <f>IF(ISNUMBER(IF(D_I="SI",Datos!K16,Datos!K16+Datos!AE16)),IF(D_I="SI",Datos!K16,Datos!K16+Datos!AE16)," - ")</f>
        <v>831</v>
      </c>
      <c r="H16" s="403">
        <f>IF(ISNUMBER(G16/B16),G16/B16," - ")</f>
        <v>831</v>
      </c>
      <c r="I16" s="402">
        <f>IF(ISNUMBER(IF(D_I="SI",Datos!L16,Datos!L16+Datos!AF16)),IF(D_I="SI",Datos!L16,Datos!L16+Datos!AF16)," - ")</f>
        <v>1101</v>
      </c>
      <c r="J16" s="403">
        <f>IF(ISNUMBER(I16/B16),I16/B16," - ")</f>
        <v>1101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67</v>
      </c>
      <c r="D17" s="403">
        <f>IF(ISNUMBER(C17/Datos!BH17),C17/Datos!BH17," - ")</f>
        <v>67</v>
      </c>
      <c r="E17" s="402">
        <f>IF(ISNUMBER(IF(D_I="SI",Datos!J17,Datos!J17+Datos!AD17)),IF(D_I="SI",Datos!J17,Datos!J17+Datos!AD17)," - ")</f>
        <v>119</v>
      </c>
      <c r="F17" s="403">
        <f>IF(ISNUMBER(E17/B17),E17/B17," - ")</f>
        <v>119</v>
      </c>
      <c r="G17" s="402">
        <f>IF(ISNUMBER(IF(D_I="SI",Datos!K17,Datos!K17+Datos!AE17)),IF(D_I="SI",Datos!K17,Datos!K17+Datos!AE17)," - ")</f>
        <v>92</v>
      </c>
      <c r="H17" s="403">
        <f>IF(ISNUMBER(G17/B17),G17/B17," - ")</f>
        <v>92</v>
      </c>
      <c r="I17" s="402">
        <f>IF(ISNUMBER(IF(D_I="SI",Datos!L17,Datos!L17+Datos!AF17)),IF(D_I="SI",Datos!L17,Datos!L17+Datos!AF17)," - ")</f>
        <v>95</v>
      </c>
      <c r="J17" s="403">
        <f>IF(ISNUMBER(I17/B17),I17/B17," - ")</f>
        <v>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1209</v>
      </c>
      <c r="D18" s="849" t="str">
        <f>IF(ISNUMBER(C18/Datos!BI18),C18/Datos!BI18," - ")</f>
        <v xml:space="preserve"> - </v>
      </c>
      <c r="E18" s="848">
        <f>SUBTOTAL(9,E14:E17)</f>
        <v>905</v>
      </c>
      <c r="F18" s="849">
        <f>IF(ISNUMBER(E18/B18),E18/B18," - ")</f>
        <v>905</v>
      </c>
      <c r="G18" s="848">
        <f>SUBTOTAL(9,G14:G17)</f>
        <v>923</v>
      </c>
      <c r="H18" s="849">
        <f>IF(ISNUMBER(G18/B18),G18/B18," - ")</f>
        <v>923</v>
      </c>
      <c r="I18" s="848">
        <f>SUBTOTAL(9,I14:I17)</f>
        <v>1196</v>
      </c>
      <c r="J18" s="849">
        <f>IF(ISNUMBER(I18/B18),I18/B18," - ")</f>
        <v>1196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2546</v>
      </c>
      <c r="D19" s="794" t="str">
        <f>IF(ISNUMBER(C19/Datos!BI19),C19/Datos!BI19," - ")</f>
        <v xml:space="preserve"> - </v>
      </c>
      <c r="E19" s="793">
        <f>SUBTOTAL(9,E9:E18)</f>
        <v>1760</v>
      </c>
      <c r="F19" s="794">
        <f>IF(ISNUMBER(E19/B19),E19/B19," - ")</f>
        <v>1760</v>
      </c>
      <c r="G19" s="793">
        <f>SUBTOTAL(9,G9:G18)</f>
        <v>1785</v>
      </c>
      <c r="H19" s="794">
        <f>IF(ISNUMBER(G19/B19),G19/B19," - ")</f>
        <v>1785</v>
      </c>
      <c r="I19" s="793">
        <f>SUBTOTAL(9,I9:I18)</f>
        <v>2526</v>
      </c>
      <c r="J19" s="794">
        <f>IF(ISNUMBER(I19/B19),I19/B19," - ")</f>
        <v>2526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7M5SkfS6cTBpgpbC/fqAz+KJmNiIz0kEqShdbt/d8OdGU4UCgswKxavQLmt/gWjTJxgrktD7uIVznSsSAeAqA==" saltValue="v2K9DR9RWix5bhg7wBov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CAZALLA DE LA SIERRA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7.8571428571428577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1140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98</v>
      </c>
      <c r="AM12" s="689">
        <f>IF(ISNUMBER(Datos!N12+DatosP!N16),Datos!N12+DatosP!N16," - ")</f>
        <v>489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17.046783625730995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0.1728395061728395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239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71</v>
      </c>
      <c r="AE13" s="938">
        <f t="shared" si="1"/>
        <v>0</v>
      </c>
      <c r="AF13" s="938">
        <f t="shared" si="1"/>
        <v>5</v>
      </c>
      <c r="AG13" s="938">
        <f t="shared" si="1"/>
        <v>0</v>
      </c>
      <c r="AH13" s="938">
        <f t="shared" si="1"/>
        <v>1140</v>
      </c>
      <c r="AI13" s="938">
        <f t="shared" si="1"/>
        <v>0</v>
      </c>
      <c r="AJ13" s="938">
        <f t="shared" si="1"/>
        <v>0</v>
      </c>
      <c r="AK13" s="938">
        <f t="shared" si="1"/>
        <v>0</v>
      </c>
      <c r="AL13" s="938">
        <f t="shared" si="1"/>
        <v>102</v>
      </c>
      <c r="AM13" s="938">
        <f t="shared" si="1"/>
        <v>492</v>
      </c>
      <c r="AN13" s="938">
        <f t="shared" si="1"/>
        <v>0</v>
      </c>
      <c r="AO13" s="938">
        <f t="shared" si="1"/>
        <v>0</v>
      </c>
      <c r="AP13" s="943">
        <f>IF(ISNUMBER(((Datos!L13/Datos!K13)*11)/factor_trimestre),((Datos!L13/Datos!K13)*11)/factor_trimestre," - ")</f>
        <v>16.432926829268293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-1.1666666666666667</v>
      </c>
      <c r="AU13" s="938" t="str">
        <f>IF(ISNUMBER((DatosP!#REF!-DatosP!#REF!+DatosP!#REF!)/(DatosP!#REF!+DatosP!#REF!-DatosP!#REF!-DatosP!#REF!)),(DatosP!#REF!-DatosP!#REF!+DatosP!#REF!)/(DatosP!#REF!+DatosP!#REF!-DatosP!#REF!-DatosP!#REF!)," - ")</f>
        <v xml:space="preserve"> - </v>
      </c>
      <c r="AV13" s="944">
        <f>SUBTOTAL(9,AV9:AV12)</f>
        <v>0.1728395061728395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14.253521126760564</v>
      </c>
      <c r="AQ18" s="943">
        <f>IF(ISNUMBER(((Datos!M18/Datos!L18)*11)/factor_trimestre),((Datos!M18/Datos!L18)*11)/factor_trimestre," - ")</f>
        <v>0.51505016722408026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-0.30769230769230771</v>
      </c>
      <c r="AW18" s="945">
        <f>IF(ISNUMBER((Datos!Q18-Datos!R18)/(Datos!S18-Datos!Q18+Datos!R18)),(Datos!Q18-Datos!R18)/(Datos!S18-Datos!Q18+Datos!R18)," - ")</f>
        <v>-5.3691275167785232E-3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239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71</v>
      </c>
      <c r="AE19" s="956">
        <f t="shared" si="5"/>
        <v>0</v>
      </c>
      <c r="AF19" s="957">
        <f t="shared" si="5"/>
        <v>5</v>
      </c>
      <c r="AG19" s="957">
        <f t="shared" si="5"/>
        <v>0</v>
      </c>
      <c r="AH19" s="957">
        <f t="shared" si="5"/>
        <v>1140</v>
      </c>
      <c r="AI19" s="957">
        <f t="shared" si="5"/>
        <v>0</v>
      </c>
      <c r="AJ19" s="958">
        <f t="shared" si="5"/>
        <v>0</v>
      </c>
      <c r="AK19" s="958">
        <f t="shared" si="5"/>
        <v>0</v>
      </c>
      <c r="AL19" s="950">
        <f t="shared" si="5"/>
        <v>102</v>
      </c>
      <c r="AM19" s="950">
        <f t="shared" si="5"/>
        <v>492</v>
      </c>
      <c r="AN19" s="950">
        <f t="shared" si="5"/>
        <v>0</v>
      </c>
      <c r="AO19" s="950">
        <f t="shared" si="5"/>
        <v>0</v>
      </c>
      <c r="AP19" s="950">
        <f>IF(ISNUMBER(((Datos!L19/Datos!K19)*11)/factor_trimestre),((Datos!L19/Datos!K19)*11)/factor_trimestre," - ")</f>
        <v>15.278829604130809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-1.1666666666666667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0.159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56.627437401551788</v>
      </c>
      <c r="AM21" s="735"/>
      <c r="AN21" s="735">
        <f>IF(ISNUMBER(STDEV(AN8:AN18)),STDEV(AN8:AN18),"-")</f>
        <v>0</v>
      </c>
      <c r="AO21" s="741">
        <f>IF(ISNUMBER(STDEV(AO8:AO18)),STDEV(AO8:AO18),"-")</f>
        <v>0</v>
      </c>
      <c r="AP21" s="778">
        <f>IF(ISNUMBER(STDEV(AP8:AP18)),STDEV(AP8:AP18),"-")</f>
        <v>4.2015489993883923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Nu0a5wmRvmrvZiKsPnuhV9B7TIBCmv45fe6YXKhg4ItLr/wnF2XnuIjpnS/IZ1hbaARFPkirt8jSxnB8iuWJA==" saltValue="4R9vI13pzVX3koWzMS2q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CAZALLA DE LA SIERRA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RiKCPmT++QPqn2c3/d42b2S3qBnm8D79sL4zHCDHHjNTjfC44V/N3ZhPV9GJNWxb767PAUCMdALueVNlqz0Ag==" saltValue="nV3grHui28wL9bpBGM9u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CAZALLA DE LA SIERRA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98</v>
      </c>
      <c r="E12" s="403">
        <f t="shared" si="0"/>
        <v>98</v>
      </c>
      <c r="F12" s="402">
        <f>IF(ISNUMBER(Datos!N12),Datos!N12," - ")</f>
        <v>489</v>
      </c>
      <c r="G12" s="403">
        <f t="shared" si="1"/>
        <v>489</v>
      </c>
      <c r="H12" s="402">
        <f>IF(ISNUMBER(Datos!O12),Datos!O12," - ")</f>
        <v>353</v>
      </c>
      <c r="I12" s="403">
        <f t="shared" si="2"/>
        <v>353</v>
      </c>
      <c r="BZ12" s="1185">
        <f>Datos!EZ12</f>
        <v>0</v>
      </c>
    </row>
    <row r="13" spans="1:78" ht="14.25" thickTop="1" thickBot="1">
      <c r="A13" s="847" t="str">
        <f>Datos!A13</f>
        <v>TOTAL</v>
      </c>
      <c r="B13" s="848">
        <f>Datos!AP13</f>
        <v>1</v>
      </c>
      <c r="C13" s="850">
        <f>Datos!AR13</f>
        <v>1</v>
      </c>
      <c r="D13" s="848">
        <f>SUBTOTAL(9,D9:D12)</f>
        <v>102</v>
      </c>
      <c r="E13" s="849">
        <f t="shared" si="0"/>
        <v>102</v>
      </c>
      <c r="F13" s="848">
        <f>SUBTOTAL(9,F9:F12)</f>
        <v>492</v>
      </c>
      <c r="G13" s="849">
        <f t="shared" si="1"/>
        <v>492</v>
      </c>
      <c r="H13" s="848">
        <f>SUBTOTAL(9,H9:H12)</f>
        <v>354</v>
      </c>
      <c r="I13" s="849">
        <f>IF(ISNUMBER(H13/B13),H13/B13," - ")</f>
        <v>354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50</v>
      </c>
      <c r="E16" s="403">
        <f t="shared" si="3"/>
        <v>50</v>
      </c>
      <c r="F16" s="402">
        <f>IF(ISNUMBER(Datos!N16),Datos!N16," - ")</f>
        <v>664</v>
      </c>
      <c r="G16" s="403">
        <f t="shared" si="4"/>
        <v>664</v>
      </c>
      <c r="H16" s="402">
        <f>IF(ISNUMBER(Datos!O16),Datos!O16," - ")</f>
        <v>6</v>
      </c>
      <c r="I16" s="403">
        <f t="shared" si="5"/>
        <v>6</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75</v>
      </c>
      <c r="G17" s="403">
        <f>IF(ISNUMBER(F17/B17),F17/B17," - ")</f>
        <v>75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56</v>
      </c>
      <c r="E18" s="849">
        <f t="shared" si="3"/>
        <v>56</v>
      </c>
      <c r="F18" s="848">
        <f>SUBTOTAL(9,F15:F17)</f>
        <v>739</v>
      </c>
      <c r="G18" s="849">
        <f t="shared" si="4"/>
        <v>739</v>
      </c>
      <c r="H18" s="848">
        <f>SUBTOTAL(9,H15:H17)</f>
        <v>6</v>
      </c>
      <c r="I18" s="849">
        <f>IF(ISNUMBER(H18/B18),H18/B18," - ")</f>
        <v>6</v>
      </c>
      <c r="BZ18" s="1185"/>
    </row>
    <row r="19" spans="1:78" ht="14.25" thickTop="1" thickBot="1">
      <c r="A19" s="792" t="str">
        <f>Datos!A19</f>
        <v>TOTAL JURISDICCIONES</v>
      </c>
      <c r="B19" s="793">
        <f>Datos!AP19</f>
        <v>1</v>
      </c>
      <c r="C19" s="793">
        <f>Datos!AR19</f>
        <v>1</v>
      </c>
      <c r="D19" s="793">
        <f>SUBTOTAL(9,D8:D18)</f>
        <v>158</v>
      </c>
      <c r="E19" s="794">
        <f>IF(ISNUMBER(D19/B19),D19/B19," - ")</f>
        <v>158</v>
      </c>
      <c r="F19" s="793">
        <f>SUBTOTAL(9,F8:F18)</f>
        <v>1231</v>
      </c>
      <c r="G19" s="794">
        <f>IF(ISNUMBER(F19/B19),F19/B19," - ")</f>
        <v>1231</v>
      </c>
      <c r="H19" s="793">
        <f>SUBTOTAL(9,H8:H18)</f>
        <v>360</v>
      </c>
      <c r="I19" s="794">
        <f>IF(ISNUMBER(H19/B19),H19/B19," - ")</f>
        <v>360</v>
      </c>
    </row>
    <row r="22" spans="1:78">
      <c r="A22" s="390" t="str">
        <f>Criterios!A4</f>
        <v>Fecha Informe: 18 mar. 2026</v>
      </c>
    </row>
    <row r="27" spans="1:78">
      <c r="A27" s="413"/>
    </row>
  </sheetData>
  <sheetProtection algorithmName="SHA-512" hashValue="CdGaPbNOyxoj3jpV3H8wMkcvHfj1MUkwgzhbfmGIWpN2uDmpqP7+JGXGrhcJc83RgsrNI/3glB4YZhpZlTAFaA==" saltValue="i9jBjcBnI9b0NAnfVppB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CAZALLA DE LA SIERRA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239</v>
      </c>
      <c r="C12" s="433">
        <f>IF(ISNUMBER(Datos!Q12),Datos!Q12," - ")</f>
        <v>71</v>
      </c>
      <c r="D12" s="407">
        <f>IF(ISNUMBER(Datos!R12),Datos!R12," - ")</f>
        <v>1140</v>
      </c>
    </row>
    <row r="13" spans="1:4" ht="14.25" thickTop="1" thickBot="1">
      <c r="A13" s="847" t="str">
        <f>Datos!A13</f>
        <v>TOTAL</v>
      </c>
      <c r="B13" s="848">
        <f>SUBTOTAL(9,B9:B12)</f>
        <v>239</v>
      </c>
      <c r="C13" s="852">
        <f>SUBTOTAL(9,C9:C12)</f>
        <v>72</v>
      </c>
      <c r="D13" s="850">
        <f>SUBTOTAL(9,D9:D12)</f>
        <v>1141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14</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14</v>
      </c>
      <c r="D18" s="850">
        <f>SUBTOTAL(9,D15:D17)</f>
        <v>18</v>
      </c>
    </row>
    <row r="19" spans="1:4" ht="16.5" customHeight="1" thickTop="1" thickBot="1">
      <c r="A19" s="792" t="str">
        <f>Datos!A19</f>
        <v>TOTAL JURISDICCIONES</v>
      </c>
      <c r="B19" s="797">
        <f>SUBTOTAL(9,B8:B18)</f>
        <v>245</v>
      </c>
      <c r="C19" s="798">
        <f>SUBTOTAL(9,C8:C18)</f>
        <v>86</v>
      </c>
      <c r="D19" s="799">
        <f>SUBTOTAL(9,D8:D18)</f>
        <v>1159</v>
      </c>
    </row>
    <row r="20" spans="1:4" ht="7.5" customHeight="1"/>
    <row r="21" spans="1:4" ht="6" customHeight="1"/>
    <row r="22" spans="1:4">
      <c r="A22" s="390" t="str">
        <f>Criterios!A4</f>
        <v>Fecha Informe: 18 mar. 2026</v>
      </c>
    </row>
    <row r="27" spans="1:4">
      <c r="A27" s="413"/>
    </row>
  </sheetData>
  <sheetProtection algorithmName="SHA-512" hashValue="w9nxnhX7kLYUdtBjcqPmZcdlD+NdxuKht3H6lpHf6n8CApAauJLsTH/9kQqta8dBet24hgpArFe+csszyJV0rQ==" saltValue="fe0WmIav2M3ihmsqzuO4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CAZALLA DE LA SIERRA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-0.33333333333333331</v>
      </c>
      <c r="D10" s="455">
        <f>IF(ISNUMBER((Datos!K10-Datos!U10)/Datos!U10),(Datos!K10-Datos!U10)/Datos!U10," - ")</f>
        <v>0.16666666666666666</v>
      </c>
      <c r="E10" s="455">
        <f>IF(ISNUMBER((Datos!L10-Datos!V10)/Datos!V10),(Datos!L10-Datos!V10)/Datos!V10," - ")</f>
        <v>-0.16666666666666666</v>
      </c>
      <c r="F10" s="455">
        <f>IF(ISNUMBER((Datos!M10-Datos!W10)/Datos!W10),(Datos!M10-Datos!W10)/Datos!W10," - ")</f>
        <v>0</v>
      </c>
      <c r="G10" s="456">
        <f>IF(ISNUMBER((Datos!N10-Datos!X10)/Datos!X10),(Datos!N10-Datos!X10)/Datos!X10," - ")</f>
        <v>0.5</v>
      </c>
      <c r="H10" s="454">
        <f>IF(ISNUMBER(((NºAsuntos!G10/NºAsuntos!E10)-Datos!BD10)/Datos!BD10),((NºAsuntos!G10/NºAsuntos!E10)-Datos!BD10)/Datos!BD10," - ")</f>
        <v>0.75000000000000022</v>
      </c>
      <c r="I10" s="455">
        <f>IF(ISNUMBER(((NºAsuntos!I10/NºAsuntos!G10)-Datos!BE10)/Datos!BE10),((NºAsuntos!I10/NºAsuntos!G10)-Datos!BE10)/Datos!BE10," - ")</f>
        <v>-0.2857142857142857</v>
      </c>
      <c r="J10" s="460">
        <f>IF(ISNUMBER((('Resol  Asuntos'!D10/NºAsuntos!G10)-Datos!BF10)/Datos!BF10),(('Resol  Asuntos'!D10/NºAsuntos!G10)-Datos!BF10)/Datos!BF10," - ")</f>
        <v>-0.14285714285714285</v>
      </c>
      <c r="K10" s="461">
        <f>IF(ISNUMBER((((NºAsuntos!C10+NºAsuntos!E10)/NºAsuntos!G10)-Datos!BG10)/Datos!BG10),(((NºAsuntos!C10+NºAsuntos!E10)/NºAsuntos!G10)-Datos!BG10)/Datos!BG10," - ")</f>
        <v>-0.1428571428571429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0.44047619047619047</v>
      </c>
      <c r="C12" s="455">
        <f>IF(ISNUMBER(
   IF(J_V="SI",(Datos!J12-Datos!T12)/Datos!T12,(Datos!J12+Datos!Z12-(Datos!T12+Datos!AH12))/(Datos!T12+Datos!AH12))
     ),IF(J_V="SI",(Datos!J12-Datos!T12)/Datos!T12,(Datos!J12+Datos!Z12-(Datos!T12+Datos!AH12))/(Datos!T12+Datos!AH12))," - ")</f>
        <v>-0.1875598086124402</v>
      </c>
      <c r="D12" s="455">
        <f>IF(ISNUMBER(
   IF(J_V="SI",(Datos!K12-Datos!U12)/Datos!U12,(Datos!K12+Datos!AA12-(Datos!U12+Datos!AI12))/(Datos!U12+Datos!AI12))
     ),IF(J_V="SI",(Datos!K12-Datos!U12)/Datos!U12,(Datos!K12+Datos!AA12-(Datos!U12+Datos!AI12))/(Datos!U12+Datos!AI12))," - ")</f>
        <v>0.2857142857142857</v>
      </c>
      <c r="E12" s="455">
        <f>IF(ISNUMBER(
   IF(J_V="SI",(Datos!L12-Datos!V12)/Datos!V12,(Datos!L12+Datos!AB12-(Datos!V12+Datos!AJ12))/(Datos!V12+Datos!AJ12))
     ),IF(J_V="SI",(Datos!L12-Datos!V12)/Datos!V12,(Datos!L12+Datos!AB12-(Datos!V12+Datos!AJ12))/(Datos!V12+Datos!AJ12))," - ")</f>
        <v>-4.5078888054094664E-3</v>
      </c>
      <c r="F12" s="455">
        <f>IF(ISNUMBER((Datos!M12-Datos!W12)/Datos!W12),(Datos!M12-Datos!W12)/Datos!W12," - ")</f>
        <v>0.10112359550561797</v>
      </c>
      <c r="G12" s="456">
        <f>IF(ISNUMBER((Datos!N12-Datos!X12)/Datos!X12),(Datos!N12-Datos!X12)/Datos!X12," - ")</f>
        <v>0.21641791044776118</v>
      </c>
      <c r="H12" s="454">
        <f>IF(ISNUMBER(((NºAsuntos!G12/NºAsuntos!E12)-Datos!BD12)/Datos!BD12),((NºAsuntos!G12/NºAsuntos!E12)-Datos!BD12)/Datos!BD12," - ")</f>
        <v>0.58253407370015153</v>
      </c>
      <c r="I12" s="455">
        <f>IF(ISNUMBER(((NºAsuntos!I12/NºAsuntos!G12)-Datos!BE12)/Datos!BE12),((NºAsuntos!I12/NºAsuntos!G12)-Datos!BE12)/Datos!BE12," - ")</f>
        <v>-0.22572835795976284</v>
      </c>
      <c r="J12" s="460">
        <f>IF(ISNUMBER((('Resol  Asuntos'!D12/NºAsuntos!G12)-Datos!BF12)/Datos!BF12),(('Resol  Asuntos'!D12/NºAsuntos!G12)-Datos!BF12)/Datos!BF12," - ")</f>
        <v>-0.81039248203427305</v>
      </c>
      <c r="K12" s="461">
        <f>IF(ISNUMBER((((NºAsuntos!C12+NºAsuntos!E12)/NºAsuntos!G12)-Datos!BG12)/Datos!BG12),(((NºAsuntos!C12+NºAsuntos!E12)/NºAsuntos!G12)-Datos!BG12)/Datos!BG12," - ")</f>
        <v>-0.13887478133288189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0.44228694714131606</v>
      </c>
      <c r="C13" s="854">
        <f>IF(ISNUMBER(
   IF(J_V="SI",(Datos!J13-Datos!T13)/Datos!T13,(Datos!J13+Datos!Z13-(Datos!T13+Datos!AH13))/(Datos!T13+Datos!AH13))
     ),IF(J_V="SI",(Datos!J13-Datos!T13)/Datos!T13,(Datos!J13+Datos!Z13-(Datos!T13+Datos!AH13))/(Datos!T13+Datos!AH13))," - ")</f>
        <v>-0.1888045540796964</v>
      </c>
      <c r="D13" s="854">
        <f>IF(ISNUMBER(
   IF(J_V="SI",(Datos!K13-Datos!U13)/Datos!U13,(Datos!K13+Datos!AA13-(Datos!U13+Datos!AI13))/(Datos!U13+Datos!AI13))
     ),IF(J_V="SI",(Datos!K13-Datos!U13)/Datos!U13,(Datos!K13+Datos!AA13-(Datos!U13+Datos!AI13))/(Datos!U13+Datos!AI13))," - ")</f>
        <v>0.28464977645305511</v>
      </c>
      <c r="E13" s="854">
        <f>IF(ISNUMBER(
   IF(J_V="SI",(Datos!L13-Datos!V13)/Datos!V13,(Datos!L13+Datos!AB13-(Datos!V13+Datos!AJ13))/(Datos!V13+Datos!AJ13))
     ),IF(J_V="SI",(Datos!L13-Datos!V13)/Datos!V13,(Datos!L13+Datos!AB13-(Datos!V13+Datos!AJ13))/(Datos!V13+Datos!AJ13))," - ")</f>
        <v>-5.235602094240838E-3</v>
      </c>
      <c r="F13" s="855">
        <f>IF(ISNUMBER((Datos!M13-Datos!W13)/Datos!W13),(Datos!M13-Datos!W13)/Datos!W13," - ")</f>
        <v>9.6774193548387094E-2</v>
      </c>
      <c r="G13" s="856">
        <f>IF(ISNUMBER((Datos!N13-Datos!X13)/Datos!X13),(Datos!N13-Datos!X13)/Datos!X13," - ")</f>
        <v>0.21782178217821782</v>
      </c>
      <c r="H13" s="856">
        <f>IF(ISNUMBER(((NºAsuntos!G13/NºAsuntos!E13)-Datos!BD13)/Datos!BD13),((NºAsuntos!G13/NºAsuntos!E13)-Datos!BD13)/Datos!BD13," - ")</f>
        <v>0.58365013377955588</v>
      </c>
      <c r="I13" s="856">
        <f>IF(ISNUMBER(((NºAsuntos!I13/NºAsuntos!G13)-Datos!BE13)/Datos!BE13),((NºAsuntos!I13/NºAsuntos!G13)-Datos!BE13)/Datos!BE13," - ")</f>
        <v>-0.2256532355049137</v>
      </c>
      <c r="J13" s="856">
        <f>IF(ISNUMBER((('Resol  Asuntos'!D13/NºAsuntos!G13)-Datos!BF13)/Datos!BF13),(('Resol  Asuntos'!D13/NºAsuntos!G13)-Datos!BF13)/Datos!BF13," - ")</f>
        <v>-0.80443578343410338</v>
      </c>
      <c r="K13" s="856">
        <f>IF(ISNUMBER((((NºAsuntos!C13+NºAsuntos!E13)/NºAsuntos!G13)-Datos!BG13)/Datos!BG13),(((NºAsuntos!C13+NºAsuntos!E13)/NºAsuntos!G13)-Datos!BG13)/Datos!BG13," - ")</f>
        <v>-0.13866651987383624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0.67941176470588238</v>
      </c>
      <c r="C16" s="455">
        <f>IF(ISNUMBER(
   IF(D_I="SI",(Datos!J16-Datos!T16)/Datos!T16,(Datos!J16+Datos!AD16-(Datos!T16+Datos!AL16))/(Datos!T16+Datos!AL16))
     ),IF(D_I="SI",(Datos!J16-Datos!T16)/Datos!T16,(Datos!J16+Datos!AD16-(Datos!T16+Datos!AL16))/(Datos!T16+Datos!AL16))," - ")</f>
        <v>-0.17782426778242677</v>
      </c>
      <c r="D16" s="455">
        <f>IF(ISNUMBER(
   IF(D_I="SI",(Datos!K16-Datos!U16)/Datos!U16,(Datos!K16+Datos!AE16-(Datos!U16+Datos!AM16))/(Datos!U16+Datos!AM16))
     ),IF(D_I="SI",(Datos!K16-Datos!U16)/Datos!U16,(Datos!K16+Datos!AE16-(Datos!U16+Datos!AM16))/(Datos!U16+Datos!AM16))," - ")</f>
        <v>0.56203007518796988</v>
      </c>
      <c r="E16" s="455">
        <f>IF(ISNUMBER(
   IF(D_I="SI",(Datos!L16-Datos!V16)/Datos!V16,(Datos!L16+Datos!AF16-(Datos!V16+Datos!AN16))/(Datos!V16+Datos!AN16))
     ),IF(D_I="SI",(Datos!L16-Datos!V16)/Datos!V16,(Datos!L16+Datos!AF16-(Datos!V16+Datos!AN16))/(Datos!V16+Datos!AN16))," - ")</f>
        <v>-3.5901926444833622E-2</v>
      </c>
      <c r="F16" s="455">
        <f>IF(ISNUMBER((Datos!M16-Datos!W16)/Datos!W16),(Datos!M16-Datos!W16)/Datos!W16," - ")</f>
        <v>0.21951219512195122</v>
      </c>
      <c r="G16" s="456">
        <f>IF(ISNUMBER((Datos!N16-Datos!X16)/Datos!X16),(Datos!N16-Datos!X16)/Datos!X16," - ")</f>
        <v>0.88636363636363635</v>
      </c>
      <c r="H16" s="454">
        <f>IF(ISNUMBER(((NºAsuntos!G16/NºAsuntos!E16)-Datos!BD16)/Datos!BD16),((NºAsuntos!G16/NºAsuntos!E16)-Datos!BD16)/Datos!BD16," - ")</f>
        <v>0.89987373012684391</v>
      </c>
      <c r="I16" s="455">
        <f>IF(ISNUMBER(((NºAsuntos!I16/NºAsuntos!G16)-Datos!BE16)/Datos!BE16),((NºAsuntos!I16/NºAsuntos!G16)-Datos!BE16)/Datos!BE16," - ")</f>
        <v>-0.38279160634013415</v>
      </c>
      <c r="J16" s="460">
        <f>IF(ISNUMBER((('Resol  Asuntos'!D16/NºAsuntos!G16)-Datos!BF16)/Datos!BF16),(('Resol  Asuntos'!D16/NºAsuntos!G16)-Datos!BF16)/Datos!BF16," - ")</f>
        <v>-0.21927739132986998</v>
      </c>
      <c r="K16" s="461">
        <f>IF(ISNUMBER((((NºAsuntos!C16+NºAsuntos!E16)/NºAsuntos!G16)-Datos!BG16)/Datos!BG16),(((NºAsuntos!C16+NºAsuntos!E16)/NºAsuntos!G16)-Datos!BG16)/Datos!BG16," - ")</f>
        <v>-0.24554326686850328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9.8360655737704916E-2</v>
      </c>
      <c r="C17" s="455">
        <f>IF(ISNUMBER(
   IF(D_I="SI",(Datos!J17-Datos!T17)/Datos!T17,(Datos!J17+Datos!AD17-(Datos!T17+Datos!AL17))/(Datos!T17+Datos!AL17))
     ),IF(D_I="SI",(Datos!J17-Datos!T17)/Datos!T17,(Datos!J17+Datos!AD17-(Datos!T17+Datos!AL17))/(Datos!T17+Datos!AL17))," - ")</f>
        <v>9.1743119266055051E-2</v>
      </c>
      <c r="D17" s="455">
        <f>IF(ISNUMBER(
   IF(D_I="SI",(Datos!K17-Datos!U17)/Datos!U17,(Datos!K17+Datos!AE17-(Datos!U17+Datos!AM17))/(Datos!U17+Datos!AM17))
     ),IF(D_I="SI",(Datos!K17-Datos!U17)/Datos!U17,(Datos!K17+Datos!AE17-(Datos!U17+Datos!AM17))/(Datos!U17+Datos!AM17))," - ")</f>
        <v>-0.10679611650485436</v>
      </c>
      <c r="E17" s="455">
        <f>IF(ISNUMBER(
   IF(D_I="SI",(Datos!L17-Datos!V17)/Datos!V17,(Datos!L17+Datos!AF17-(Datos!V17+Datos!AN17))/(Datos!V17+Datos!AN17))
     ),IF(D_I="SI",(Datos!L17-Datos!V17)/Datos!V17,(Datos!L17+Datos!AF17-(Datos!V17+Datos!AN17))/(Datos!V17+Datos!AN17))," - ")</f>
        <v>0.41791044776119401</v>
      </c>
      <c r="F17" s="455">
        <f>IF(ISNUMBER((Datos!M17-Datos!W17)/Datos!W17),(Datos!M17-Datos!W17)/Datos!W17," - ")</f>
        <v>1</v>
      </c>
      <c r="G17" s="456">
        <f>IF(ISNUMBER((Datos!N17-Datos!X17)/Datos!X17),(Datos!N17-Datos!X17)/Datos!X17," - ")</f>
        <v>-0.15730337078651685</v>
      </c>
      <c r="H17" s="454">
        <f>IF(ISNUMBER(((NºAsuntos!G17/NºAsuntos!E17)-Datos!BD17)/Datos!BD17),((NºAsuntos!G17/NºAsuntos!E17)-Datos!BD17)/Datos!BD17," - ")</f>
        <v>-0.181855266378396</v>
      </c>
      <c r="I17" s="455">
        <f>IF(ISNUMBER(((NºAsuntos!I17/NºAsuntos!G17)-Datos!BE17)/Datos!BE17),((NºAsuntos!I17/NºAsuntos!G17)-Datos!BE17)/Datos!BE17," - ")</f>
        <v>0.58744321868916261</v>
      </c>
      <c r="J17" s="460">
        <f>IF(ISNUMBER((('Resol  Asuntos'!D17/NºAsuntos!G17)-Datos!BF17)/Datos!BF17),(('Resol  Asuntos'!D17/NºAsuntos!G17)-Datos!BF17)/Datos!BF17," - ")</f>
        <v>1.2391304347826086</v>
      </c>
      <c r="K17" s="461">
        <f>IF(ISNUMBER((((NºAsuntos!C17+NºAsuntos!E17)/NºAsuntos!G17)-Datos!BG17)/Datos!BG17),(((NºAsuntos!C17+NºAsuntos!E17)/NºAsuntos!G17)-Datos!BG17)/Datos!BG17," - ")</f>
        <v>0.22493606138107428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0.63157894736842102</v>
      </c>
      <c r="C18" s="854">
        <f>IF(ISNUMBER(
   IF(Criterios!B14="SI",(Datos!J18-Datos!T18)/Datos!T18,(Datos!J18+Datos!AD18-(Datos!T18+Datos!AL18))/(Datos!T18+Datos!AL18))
     ),IF(Criterios!B14="SI",(Datos!J18-Datos!T18)/Datos!T18,(Datos!J18+Datos!AD18-(Datos!T18+Datos!AL18))/(Datos!T18+Datos!AL18))," - ")</f>
        <v>-0.15023474178403756</v>
      </c>
      <c r="D18" s="854">
        <f>IF(ISNUMBER(
   IF(Criterios!B14="SI",(Datos!K18-Datos!U18)/Datos!U18,(Datos!K18+Datos!AE18-(Datos!U18+Datos!AM18))/(Datos!U18+Datos!AM18))
     ),IF(Criterios!B14="SI",(Datos!K18-Datos!U18)/Datos!U18,(Datos!K18+Datos!AE18-(Datos!U18+Datos!AM18))/(Datos!U18+Datos!AM18))," - ")</f>
        <v>0.45354330708661417</v>
      </c>
      <c r="E18" s="854">
        <f>IF(ISNUMBER(
   IF(Criterios!B14="SI",(Datos!L18-Datos!V18)/Datos!V18,(Datos!L18+Datos!AF18-(Datos!V18+Datos!AN18))/(Datos!V18+Datos!AN18))
     ),IF(Criterios!B14="SI",(Datos!L18-Datos!V18)/Datos!V18,(Datos!L18+Datos!AF18-(Datos!V18+Datos!AN18))/(Datos!V18+Datos!AN18))," - ")</f>
        <v>-1.0752688172043012E-2</v>
      </c>
      <c r="F18" s="855">
        <f>IF(ISNUMBER((Datos!M18-Datos!W18)/Datos!W18),(Datos!M18-Datos!W18)/Datos!W18," - ")</f>
        <v>0.27272727272727271</v>
      </c>
      <c r="G18" s="856">
        <f>IF(ISNUMBER((Datos!N18-Datos!X18)/Datos!X18),(Datos!N18-Datos!X18)/Datos!X18," - ")</f>
        <v>0.67573696145124718</v>
      </c>
      <c r="H18" s="856">
        <f>IF(ISNUMBER(((NºAsuntos!G18/NºAsuntos!E18)-Datos!BD18)/Datos!BD18),((NºAsuntos!G18/NºAsuntos!E18)-Datos!BD18)/Datos!BD18," - ")</f>
        <v>0.7105233392787228</v>
      </c>
      <c r="I18" s="856">
        <f>IF(ISNUMBER(((NºAsuntos!I18/NºAsuntos!G18)-Datos!BE18)/Datos!BE18),((NºAsuntos!I18/NºAsuntos!G18)-Datos!BE18)/Datos!BE18," - ")</f>
        <v>-0.31942357203602084</v>
      </c>
      <c r="J18" s="856">
        <f>IF(ISNUMBER((('Resol  Asuntos'!D18/NºAsuntos!G18)-Datos!BF18)/Datos!BF18),(('Resol  Asuntos'!D18/NºAsuntos!G18)-Datos!BF18)/Datos!BF18," - ")</f>
        <v>-0.12439673003053281</v>
      </c>
      <c r="K18" s="856">
        <f>IF(ISNUMBER((((NºAsuntos!C18+NºAsuntos!E18)/NºAsuntos!G18)-Datos!BG18)/Datos!BG18),(((NºAsuntos!C18+NºAsuntos!E18)/NºAsuntos!G18)-Datos!BG18)/Datos!BG18," - ")</f>
        <v>-0.19469710331158085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0.52637889688249395</v>
      </c>
      <c r="C19" s="801">
        <f>IF(ISNUMBER(
   IF(J_V="SI",(Datos!J19-Datos!T19)/Datos!T19,(Datos!J19+Datos!Z19-(Datos!T19+Datos!AH19))/(Datos!T19+Datos!AH19))
     ),IF(J_V="SI",(Datos!J19-Datos!T19)/Datos!T19,(Datos!J19+Datos!Z19-(Datos!T19+Datos!AH19))/(Datos!T19+Datos!AH19))," - ")</f>
        <v>-0.16941953751769703</v>
      </c>
      <c r="D19" s="801">
        <f>IF(ISNUMBER(
   IF(J_V="SI",(Datos!K19-Datos!U19)/Datos!U19,(Datos!K19+Datos!AA19-(Datos!U19+Datos!AI19))/(Datos!U19+Datos!AI19))
     ),IF(J_V="SI",(Datos!K19-Datos!U19)/Datos!U19,(Datos!K19+Datos!AA19-(Datos!U19+Datos!AI19))/(Datos!U19+Datos!AI19))," - ")</f>
        <v>0.3667687595712098</v>
      </c>
      <c r="E19" s="801">
        <f>IF(ISNUMBER(
   IF(J_V="SI",(Datos!L19-Datos!V19)/Datos!V19,(Datos!L19+Datos!AB19-(Datos!V19+Datos!AJ19))/(Datos!V19+Datos!AJ19))
     ),IF(J_V="SI",(Datos!L19-Datos!V19)/Datos!V19,(Datos!L19+Datos!AB19-(Datos!V19+Datos!AJ19))/(Datos!V19+Datos!AJ19))," - ")</f>
        <v>-7.8554595443833461E-3</v>
      </c>
      <c r="F19" s="802">
        <f>IF(ISNUMBER((Datos!M19-Datos!W19)/Datos!W19),(Datos!M19-Datos!W19)/Datos!W19," - ")</f>
        <v>0.15328467153284672</v>
      </c>
      <c r="G19" s="803">
        <f>IF(ISNUMBER((Datos!N19-Datos!X19)/Datos!X19),(Datos!N19-Datos!X19)/Datos!X19," - ")</f>
        <v>0.45680473372781066</v>
      </c>
      <c r="H19" s="804">
        <f>IF(ISNUMBER((Tasas!B19-Datos!BD19)/Datos!BD19),(Tasas!B19-Datos!BD19)/Datos!BD19," - ")</f>
        <v>0.64555852359738253</v>
      </c>
      <c r="I19" s="805">
        <f>IF(ISNUMBER((Tasas!C19-Datos!BE19)/Datos!BE19),(Tasas!C19-Datos!BE19)/Datos!BE19," - ")</f>
        <v>-0.27409480681510623</v>
      </c>
      <c r="J19" s="806">
        <f>IF(ISNUMBER((Tasas!D19-Datos!BF19)/Datos!BF19),(Tasas!D19-Datos!BF19)/Datos!BF19," - ")</f>
        <v>-0.7431086212262682</v>
      </c>
      <c r="K19" s="806">
        <f>IF(ISNUMBER((Tasas!E19-Datos!BG19)/Datos!BG19),(Tasas!E19-Datos!BG19)/Datos!BG19," - ")</f>
        <v>-0.16807595496609001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NwHW7UTJ5SxHVQUcKsk8HmvJW2mhtFuqaisngW7Az6SH0YodiMBRXvi1LUSu74OIYiGyuB47qfgRSZPbTvHxg==" saltValue="EYn5GuRwocJC1C524mQR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CAZALLA DE LA SIERRA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1.1666666666666667</v>
      </c>
      <c r="C10" s="442">
        <f>IF(ISNUMBER(NºAsuntos!I10/NºAsuntos!G10),NºAsuntos!I10/NºAsuntos!G10," - ")</f>
        <v>0.7142857142857143</v>
      </c>
      <c r="D10" s="443">
        <f>IF(ISNUMBER('Resol  Asuntos'!D10/NºAsuntos!G10),'Resol  Asuntos'!D10/NºAsuntos!G10," - ")</f>
        <v>0.5714285714285714</v>
      </c>
      <c r="E10" s="444">
        <f>IF(ISNUMBER((NºAsuntos!C10+NºAsuntos!E10)/NºAsuntos!G10),(NºAsuntos!C10+NºAsuntos!E10)/NºAsuntos!G10," - ")</f>
        <v>1.7142857142857142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1.0070671378091873</v>
      </c>
      <c r="C12" s="442">
        <f>IF(ISNUMBER(NºAsuntos!I12/NºAsuntos!G12),NºAsuntos!I12/NºAsuntos!G12," - ")</f>
        <v>1.5497076023391814</v>
      </c>
      <c r="D12" s="443">
        <f>IF(ISNUMBER('Resol  Asuntos'!D12/NºAsuntos!G12),'Resol  Asuntos'!D12/NºAsuntos!G12," - ")</f>
        <v>0.11461988304093568</v>
      </c>
      <c r="E12" s="444">
        <f>IF(ISNUMBER((NºAsuntos!C12+NºAsuntos!E12)/NºAsuntos!G12),(NºAsuntos!C12+NºAsuntos!E12)/NºAsuntos!G12," - ")</f>
        <v>2.5497076023391814</v>
      </c>
      <c r="G12" s="462"/>
    </row>
    <row r="13" spans="1:7" ht="14.25" thickTop="1" thickBot="1">
      <c r="A13" s="847" t="str">
        <f>Datos!A13</f>
        <v>TOTAL</v>
      </c>
      <c r="B13" s="857">
        <f>IF(ISNUMBER(NºAsuntos!G13/NºAsuntos!E13),NºAsuntos!G13/NºAsuntos!E13," - ")</f>
        <v>1.0081871345029241</v>
      </c>
      <c r="C13" s="858">
        <f>IF(ISNUMBER(NºAsuntos!I13/NºAsuntos!G13),NºAsuntos!I13/NºAsuntos!G13," - ")</f>
        <v>1.54292343387471</v>
      </c>
      <c r="D13" s="859">
        <f>IF(ISNUMBER('Resol  Asuntos'!D13/NºAsuntos!G13),'Resol  Asuntos'!D13/NºAsuntos!G13," - ")</f>
        <v>0.11832946635730858</v>
      </c>
      <c r="E13" s="860">
        <f>IF(ISNUMBER((NºAsuntos!C13+NºAsuntos!E13)/NºAsuntos!G13),(NºAsuntos!C13+NºAsuntos!E13)/NºAsuntos!G13," - ")</f>
        <v>2.54292343387471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1.0572519083969465</v>
      </c>
      <c r="C16" s="442">
        <f>IF(ISNUMBER(NºAsuntos!I16/NºAsuntos!G16),NºAsuntos!I16/NºAsuntos!G16," - ")</f>
        <v>1.3249097472924187</v>
      </c>
      <c r="D16" s="443">
        <f>IF(ISNUMBER('Resol  Asuntos'!D16/NºAsuntos!G16),'Resol  Asuntos'!D16/NºAsuntos!G16," - ")</f>
        <v>6.0168471720818288E-2</v>
      </c>
      <c r="E16" s="444">
        <f>IF(ISNUMBER((NºAsuntos!C16+NºAsuntos!E16)/NºAsuntos!G16),(NºAsuntos!C16+NºAsuntos!E16)/NºAsuntos!G16," - ")</f>
        <v>2.3200962695547531</v>
      </c>
      <c r="G16" s="462"/>
    </row>
    <row r="17" spans="1:7" ht="21.75" thickBot="1">
      <c r="A17" s="401" t="str">
        <f>Datos!A17</f>
        <v>Jdos. Violencia contra la mujer/Secc Viol. TI.</v>
      </c>
      <c r="B17" s="441">
        <f>IF(ISNUMBER(NºAsuntos!G17/NºAsuntos!E17),NºAsuntos!G17/NºAsuntos!E17," - ")</f>
        <v>0.77310924369747902</v>
      </c>
      <c r="C17" s="442">
        <f>IF(ISNUMBER(NºAsuntos!I17/NºAsuntos!G17),NºAsuntos!I17/NºAsuntos!G17," - ")</f>
        <v>1.0326086956521738</v>
      </c>
      <c r="D17" s="443">
        <f>IF(ISNUMBER('Resol  Asuntos'!D17/NºAsuntos!G17),'Resol  Asuntos'!D17/NºAsuntos!G17," - ")</f>
        <v>6.5217391304347824E-2</v>
      </c>
      <c r="E17" s="444">
        <f>IF(ISNUMBER((NºAsuntos!C17+NºAsuntos!E17)/NºAsuntos!G17),(NºAsuntos!C17+NºAsuntos!E17)/NºAsuntos!G17," - ")</f>
        <v>2.0217391304347827</v>
      </c>
      <c r="G17" s="462"/>
    </row>
    <row r="18" spans="1:7" ht="14.25" thickTop="1" thickBot="1">
      <c r="A18" s="847" t="str">
        <f>Datos!A18</f>
        <v>TOTAL</v>
      </c>
      <c r="B18" s="857">
        <f>IF(ISNUMBER(NºAsuntos!G18/NºAsuntos!E18),NºAsuntos!G18/NºAsuntos!E18," - ")</f>
        <v>1.0198895027624308</v>
      </c>
      <c r="C18" s="858">
        <f>IF(ISNUMBER(NºAsuntos!I18/NºAsuntos!G18),NºAsuntos!I18/NºAsuntos!G18," - ")</f>
        <v>1.295774647887324</v>
      </c>
      <c r="D18" s="861">
        <f>IF(ISNUMBER('Resol  Asuntos'!D18/NºAsuntos!G18),'Resol  Asuntos'!D18/NºAsuntos!G18," - ")</f>
        <v>6.0671722643553631E-2</v>
      </c>
      <c r="E18" s="860">
        <f>IF(ISNUMBER((NºAsuntos!C18+NºAsuntos!E18)/NºAsuntos!G18),(NºAsuntos!C18+NºAsuntos!E18)/NºAsuntos!G18," - ")</f>
        <v>2.2903575297941496</v>
      </c>
      <c r="G18" s="462"/>
    </row>
    <row r="19" spans="1:7" ht="15.75" customHeight="1" thickTop="1" thickBot="1">
      <c r="A19" s="792" t="str">
        <f>Datos!A19</f>
        <v>TOTAL JURISDICCIONES</v>
      </c>
      <c r="B19" s="807">
        <f>IF(ISNUMBER(NºAsuntos!G19/NºAsuntos!E19),NºAsuntos!G19/NºAsuntos!E19," - ")</f>
        <v>1.0142045454545454</v>
      </c>
      <c r="C19" s="808">
        <f>IF(ISNUMBER(NºAsuntos!I19/NºAsuntos!G19),NºAsuntos!I19/NºAsuntos!G19," - ")</f>
        <v>1.4151260504201681</v>
      </c>
      <c r="D19" s="809">
        <f>IF(ISNUMBER('Resol  Asuntos'!D19/NºAsuntos!G19),'Resol  Asuntos'!D19/NºAsuntos!G19," - ")</f>
        <v>8.8515406162464991E-2</v>
      </c>
      <c r="E19" s="810">
        <f>IF(ISNUMBER((NºAsuntos!C19+NºAsuntos!E19)/NºAsuntos!G19),(NºAsuntos!C19+NºAsuntos!E19)/NºAsuntos!G19," - ")</f>
        <v>2.4123249299719887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Ub+WcJi2+BqOZEMLh5heeKacp9hXDLDwhOW323gkXE9beP+cumJI0kxXvE9EghY/O758eHkaImB725BObhu0w==" saltValue="3EmRIeQ72/lCtDuWQ1fD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CAZALLA DE LA SIERRA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1</v>
      </c>
      <c r="Y10" s="333">
        <f t="shared" ref="Y10:Y12" si="0">SUM(W10:X10)</f>
        <v>8</v>
      </c>
      <c r="Z10" s="334" t="str">
        <f>IF(ISNUMBER(Datos!CC10),Datos!CC10," - ")</f>
        <v xml:space="preserve"> - </v>
      </c>
      <c r="AA10" s="331">
        <f>IF(ISNUMBER(Datos!L10),Datos!L10,"-")</f>
        <v>5</v>
      </c>
      <c r="AB10" s="333">
        <f>IF(ISNUMBER(Datos!R10),Datos!R10," - ")</f>
        <v>1</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7.8571428571428577</v>
      </c>
      <c r="AN10" s="243">
        <f>IF(ISNUMBER('Resol  Asuntos'!D10/NºAsuntos!G10),'Resol  Asuntos'!D10/NºAsuntos!G10," - ")</f>
        <v>0.5714285714285714</v>
      </c>
      <c r="AO10" s="244">
        <f>IF(ISNUMBER((NºAsuntos!C10+NºAsuntos!E10)/NºAsuntos!G10),(NºAsuntos!C10+NºAsuntos!E10)/NºAsuntos!G10," - ")</f>
        <v>1.7142857142857142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71</v>
      </c>
      <c r="Y12" s="333">
        <f t="shared" si="0"/>
        <v>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v>
      </c>
      <c r="AJ12" s="228" t="str">
        <f>IF(ISNUMBER(Datos!BW12),Datos!BW12," - ")</f>
        <v xml:space="preserve"> - </v>
      </c>
      <c r="AK12" s="227" t="str">
        <f>IF(ISNUMBER(Datos!BX12),Datos!BX12," - ")</f>
        <v xml:space="preserve"> - </v>
      </c>
      <c r="AL12" s="242">
        <f>IF(ISNUMBER(NºAsuntos!G12/NºAsuntos!E12),NºAsuntos!G12/NºAsuntos!E12," - ")</f>
        <v>1.0070671378091873</v>
      </c>
      <c r="AM12" s="259">
        <f>IF(ISNUMBER(((NºAsuntos!I12/NºAsuntos!G12)*11)/factor_trimestre),((NºAsuntos!I12/NºAsuntos!G12)*11)/factor_trimestre," - ")</f>
        <v>17.046783625730995</v>
      </c>
      <c r="AN12" s="243">
        <f>IF(ISNUMBER('Resol  Asuntos'!D12/NºAsuntos!G12),'Resol  Asuntos'!D12/NºAsuntos!G12," - ")</f>
        <v>0.11461988304093568</v>
      </c>
      <c r="AO12" s="244">
        <f>IF(ISNUMBER((NºAsuntos!C12+NºAsuntos!E12)/NºAsuntos!G12),(NºAsuntos!C12+NºAsuntos!E12)/NºAsuntos!G12," - ")</f>
        <v>2.5497076023391814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239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72</v>
      </c>
      <c r="Y13" s="867">
        <f t="shared" si="4"/>
        <v>79</v>
      </c>
      <c r="Z13" s="867">
        <f t="shared" si="4"/>
        <v>0</v>
      </c>
      <c r="AA13" s="867">
        <f t="shared" si="4"/>
        <v>5</v>
      </c>
      <c r="AB13" s="867">
        <f t="shared" si="4"/>
        <v>1141</v>
      </c>
      <c r="AC13" s="867">
        <f t="shared" si="4"/>
        <v>6</v>
      </c>
      <c r="AD13" s="867">
        <f t="shared" si="4"/>
        <v>0</v>
      </c>
      <c r="AE13" s="871">
        <f t="shared" si="4"/>
        <v>0</v>
      </c>
      <c r="AF13" s="864">
        <f t="shared" si="4"/>
        <v>0</v>
      </c>
      <c r="AG13" s="872">
        <f t="shared" si="4"/>
        <v>0</v>
      </c>
      <c r="AH13" s="869">
        <f t="shared" si="4"/>
        <v>0</v>
      </c>
      <c r="AI13" s="864">
        <f t="shared" si="4"/>
        <v>102</v>
      </c>
      <c r="AJ13" s="866">
        <f t="shared" si="4"/>
        <v>0</v>
      </c>
      <c r="AK13" s="869">
        <f>SUBTOTAL(9,AK9:AK12)</f>
        <v>0</v>
      </c>
      <c r="AL13" s="873">
        <f>IF(ISNUMBER(NºAsuntos!G13/NºAsuntos!E13),NºAsuntos!G13/NºAsuntos!E13," - ")</f>
        <v>1.0081871345029241</v>
      </c>
      <c r="AM13" s="873">
        <f>IF(ISNUMBER(((NºAsuntos!I13/NºAsuntos!G13)*11)/factor_trimestre),((NºAsuntos!I13/NºAsuntos!G13)*11)/factor_trimestre," - ")</f>
        <v>16.972157772621809</v>
      </c>
      <c r="AN13" s="874">
        <f>IF(ISNUMBER('Resol  Asuntos'!D13/NºAsuntos!G13),'Resol  Asuntos'!D13/NºAsuntos!G13," - ")</f>
        <v>0.11832946635730858</v>
      </c>
      <c r="AO13" s="875">
        <f>IF(ISNUMBER((NºAsuntos!C13+NºAsuntos!E13)/NºAsuntos!G13),(NºAsuntos!C13+NºAsuntos!E13)/NºAsuntos!G13," - ")</f>
        <v>2.54292343387471</v>
      </c>
      <c r="AP13" s="876" t="str">
        <f t="shared" si="2"/>
        <v xml:space="preserve"> - </v>
      </c>
      <c r="AQ13" s="876">
        <f>IF(ISNUMBER((H13-W13+K13)/(F13)),(H13-W13+K13)/(F13)," - ")</f>
        <v>-1.1666666666666667</v>
      </c>
      <c r="AR13" s="877">
        <f>IF(ISNUMBER((Datos!P13-Datos!Q13)/(Datos!R13-Datos!P13+Datos!Q13)),(Datos!P13-Datos!Q13)/(Datos!R13-Datos!P13+Datos!Q13)," - ")</f>
        <v>0.17145790554414783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1146</v>
      </c>
      <c r="G16" s="332">
        <f>IF(ISNUMBER(IF(D_I="SI",Datos!I16,Datos!I16+Datos!AC16)),IF(D_I="SI",Datos!I16,Datos!I16+Datos!AC16)," - ")</f>
        <v>1142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831</v>
      </c>
      <c r="X16" s="225">
        <f>IF(ISNUMBER(Datos!Q16),Datos!Q16," - ")</f>
        <v>14</v>
      </c>
      <c r="Y16" s="333">
        <f t="shared" ref="Y16:Y17" si="7">SUM(W16:X16)</f>
        <v>845</v>
      </c>
      <c r="Z16" s="334" t="str">
        <f>IF(ISNUMBER(Datos!CC16),Datos!CC16," - ")</f>
        <v xml:space="preserve"> - </v>
      </c>
      <c r="AA16" s="331">
        <f>IF(ISNUMBER(IF(D_I="SI",Datos!L16,Datos!L16+Datos!AF16)),IF(D_I="SI",Datos!L16,Datos!L16+Datos!AF16)," - ")</f>
        <v>1101</v>
      </c>
      <c r="AB16" s="333">
        <f>IF(ISNUMBER(Datos!R16),Datos!R16," - ")</f>
        <v>18</v>
      </c>
      <c r="AC16" s="333">
        <f t="shared" si="6"/>
        <v>1119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50</v>
      </c>
      <c r="AJ16" s="230" t="str">
        <f>IF(ISNUMBER(Datos!BW16),Datos!BW16," - ")</f>
        <v xml:space="preserve"> - </v>
      </c>
      <c r="AK16" s="231" t="str">
        <f>IF(ISNUMBER(Datos!BX16),Datos!BX16," - ")</f>
        <v xml:space="preserve"> - </v>
      </c>
      <c r="AL16" s="242">
        <f>IF(ISNUMBER(NºAsuntos!G16/NºAsuntos!E16),NºAsuntos!G16/NºAsuntos!E16," - ")</f>
        <v>1.0572519083969465</v>
      </c>
      <c r="AM16" s="259">
        <f>IF(ISNUMBER(((NºAsuntos!I16/NºAsuntos!G16)*11)/factor_trimestre),((NºAsuntos!I16/NºAsuntos!G16)*11)/factor_trimestre," - ")</f>
        <v>14.574007220216606</v>
      </c>
      <c r="AN16" s="243">
        <f>IF(ISNUMBER('Resol  Asuntos'!D16/NºAsuntos!G16),'Resol  Asuntos'!D16/NºAsuntos!G16," - ")</f>
        <v>6.0168471720818288E-2</v>
      </c>
      <c r="AO16" s="244">
        <f>IF(ISNUMBER((NºAsuntos!C16+NºAsuntos!E16)/NºAsuntos!G16),(NºAsuntos!C16+NºAsuntos!E16)/NºAsuntos!G16," - ")</f>
        <v>2.3200962695547531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92</v>
      </c>
      <c r="X17" s="225">
        <f>IF(ISNUMBER(Datos!Q17),Datos!Q17," - ")</f>
        <v>0</v>
      </c>
      <c r="Y17" s="333">
        <f t="shared" si="7"/>
        <v>92</v>
      </c>
      <c r="Z17" s="334" t="str">
        <f>IF(ISNUMBER(Datos!CC17),Datos!CC17," - ")</f>
        <v xml:space="preserve"> - </v>
      </c>
      <c r="AA17" s="331">
        <f>IF(ISNUMBER(Datos!L17),Datos!L17,"-")</f>
        <v>95</v>
      </c>
      <c r="AB17" s="333">
        <f>IF(ISNUMBER(Datos!R17),Datos!R17," - ")</f>
        <v>0</v>
      </c>
      <c r="AC17" s="333">
        <f t="shared" si="6"/>
        <v>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0.77310924369747902</v>
      </c>
      <c r="AM17" s="259">
        <f>IF(ISNUMBER(((NºAsuntos!I17/NºAsuntos!G17)*11)/factor_trimestre),((NºAsuntos!I17/NºAsuntos!G17)*11)/factor_trimestre," - ")</f>
        <v>11.358695652173912</v>
      </c>
      <c r="AN17" s="243">
        <f>IF(ISNUMBER('Resol  Asuntos'!D17/NºAsuntos!G17),'Resol  Asuntos'!D17/NºAsuntos!G17," - ")</f>
        <v>6.5217391304347824E-2</v>
      </c>
      <c r="AO17" s="244">
        <f>IF(ISNUMBER((NºAsuntos!C17+NºAsuntos!E17)/NºAsuntos!G17),(NºAsuntos!C17+NºAsuntos!E17)/NºAsuntos!G17," - ")</f>
        <v>2.0217391304347827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1146</v>
      </c>
      <c r="G18" s="865">
        <f>SUBTOTAL(9,G15:G17)</f>
        <v>1209</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923</v>
      </c>
      <c r="X18" s="866">
        <f t="shared" si="11"/>
        <v>14</v>
      </c>
      <c r="Y18" s="867">
        <f t="shared" si="11"/>
        <v>937</v>
      </c>
      <c r="Z18" s="867">
        <f t="shared" si="11"/>
        <v>0</v>
      </c>
      <c r="AA18" s="867">
        <f t="shared" si="11"/>
        <v>1196</v>
      </c>
      <c r="AB18" s="867">
        <f t="shared" si="11"/>
        <v>18</v>
      </c>
      <c r="AC18" s="867">
        <f t="shared" si="11"/>
        <v>1214</v>
      </c>
      <c r="AD18" s="867">
        <f t="shared" si="11"/>
        <v>0</v>
      </c>
      <c r="AE18" s="871">
        <f t="shared" si="11"/>
        <v>0</v>
      </c>
      <c r="AF18" s="864">
        <f t="shared" si="11"/>
        <v>0</v>
      </c>
      <c r="AG18" s="872">
        <f t="shared" si="11"/>
        <v>0</v>
      </c>
      <c r="AH18" s="869">
        <f t="shared" si="11"/>
        <v>0</v>
      </c>
      <c r="AI18" s="864">
        <f t="shared" si="11"/>
        <v>56</v>
      </c>
      <c r="AJ18" s="866">
        <f t="shared" si="11"/>
        <v>0</v>
      </c>
      <c r="AK18" s="869">
        <f t="shared" si="11"/>
        <v>0</v>
      </c>
      <c r="AL18" s="873">
        <f>IF(ISNUMBER(NºAsuntos!G18/NºAsuntos!E18),NºAsuntos!G18/NºAsuntos!E18," - ")</f>
        <v>1.0198895027624308</v>
      </c>
      <c r="AM18" s="873">
        <f>IF(ISNUMBER(((NºAsuntos!I18/NºAsuntos!G18)*11)/factor_trimestre),((NºAsuntos!I18/NºAsuntos!G18)*11)/factor_trimestre," - ")</f>
        <v>14.253521126760564</v>
      </c>
      <c r="AN18" s="874">
        <f>IF(ISNUMBER('Resol  Asuntos'!D18/NºAsuntos!G18),'Resol  Asuntos'!D18/NºAsuntos!G18," - ")</f>
        <v>6.0671722643553631E-2</v>
      </c>
      <c r="AO18" s="875">
        <f>IF(ISNUMBER((NºAsuntos!C18+NºAsuntos!E18)/NºAsuntos!G18),(NºAsuntos!C18+NºAsuntos!E18)/NºAsuntos!G18," - ")</f>
        <v>2.2903575297941496</v>
      </c>
      <c r="AP18" s="876" t="str">
        <f t="shared" si="2"/>
        <v xml:space="preserve"> - </v>
      </c>
      <c r="AQ18" s="876">
        <f>IF(ISNUMBER((H18-W18+K18)/(F18)),(H18-W18+K18)/(F18)," - ")</f>
        <v>-0.80541012216404884</v>
      </c>
      <c r="AR18" s="877">
        <f>IF(ISNUMBER((Datos!P18-Datos!Q18)/(Datos!R18-Datos!P18+Datos!Q18)),(Datos!P18-Datos!Q18)/(Datos!R18-Datos!P18+Datos!Q18)," - ")</f>
        <v>-0.30769230769230771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1152</v>
      </c>
      <c r="G19" s="820">
        <f t="shared" si="13"/>
        <v>1215</v>
      </c>
      <c r="H19" s="819">
        <f t="shared" si="13"/>
        <v>0</v>
      </c>
      <c r="I19" s="821">
        <f t="shared" si="13"/>
        <v>0</v>
      </c>
      <c r="J19" s="821">
        <f t="shared" si="13"/>
        <v>0</v>
      </c>
      <c r="K19" s="880">
        <f t="shared" si="13"/>
        <v>0</v>
      </c>
      <c r="L19" s="821">
        <f t="shared" si="13"/>
        <v>245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930</v>
      </c>
      <c r="X19" s="820">
        <f t="shared" si="14"/>
        <v>86</v>
      </c>
      <c r="Y19" s="827">
        <f t="shared" si="14"/>
        <v>1016</v>
      </c>
      <c r="Z19" s="827">
        <f t="shared" si="14"/>
        <v>0</v>
      </c>
      <c r="AA19" s="827">
        <f t="shared" si="14"/>
        <v>1201</v>
      </c>
      <c r="AB19" s="827">
        <f t="shared" si="14"/>
        <v>1159</v>
      </c>
      <c r="AC19" s="827">
        <f t="shared" si="14"/>
        <v>1220</v>
      </c>
      <c r="AD19" s="827">
        <f t="shared" si="14"/>
        <v>0</v>
      </c>
      <c r="AE19" s="829">
        <f t="shared" si="14"/>
        <v>0</v>
      </c>
      <c r="AF19" s="830">
        <f t="shared" si="14"/>
        <v>0</v>
      </c>
      <c r="AG19" s="831">
        <f t="shared" si="14"/>
        <v>0</v>
      </c>
      <c r="AH19" s="829">
        <f t="shared" si="14"/>
        <v>0</v>
      </c>
      <c r="AI19" s="819">
        <f t="shared" si="14"/>
        <v>158</v>
      </c>
      <c r="AJ19" s="819">
        <f t="shared" si="14"/>
        <v>0</v>
      </c>
      <c r="AK19" s="829">
        <f t="shared" si="14"/>
        <v>0</v>
      </c>
      <c r="AL19" s="883">
        <f>IF(ISNUMBER(NºAsuntos!G19/NºAsuntos!E19),NºAsuntos!G19/NºAsuntos!E19," - ")</f>
        <v>1.0142045454545454</v>
      </c>
      <c r="AM19" s="884">
        <f>IF(ISNUMBER(((NºAsuntos!I19/NºAsuntos!G19)*11)/factor_trimestre),((NºAsuntos!I19/NºAsuntos!G19)*11)/factor_trimestre," - ")</f>
        <v>15.56638655462185</v>
      </c>
      <c r="AN19" s="884">
        <f>IF(ISNUMBER('Resol  Asuntos'!D19/NºAsuntos!G19),'Resol  Asuntos'!D19/NºAsuntos!G19," - ")</f>
        <v>8.8515406162464991E-2</v>
      </c>
      <c r="AO19" s="885">
        <f>IF(ISNUMBER((NºAsuntos!C19+NºAsuntos!E19)/NºAsuntos!G19),(NºAsuntos!C19+NºAsuntos!E19)/NºAsuntos!G19," - ")</f>
        <v>2.4123249299719887</v>
      </c>
      <c r="AP19" s="886" t="str">
        <f t="shared" si="2"/>
        <v xml:space="preserve"> - </v>
      </c>
      <c r="AQ19" s="887">
        <f>IF(OR(ISNUMBER(FIND("01",Criterios!A8,1)),ISNUMBER(FIND("02",Criterios!A8,1)),ISNUMBER(FIND("03",Criterios!A8,1)),ISNUMBER(FIND("04",Criterios!A8,1))),(I19-W19+K19)/(F19-K19),(H19-W19+K19)/(F19-K19))</f>
        <v>-0.80729166666666663</v>
      </c>
      <c r="AR19" s="888">
        <f>IF(ISNUMBER((Datos!P19-Datos!Q19)/(Datos!R19-Datos!P19+Datos!Q19)),(Datos!P19-Datos!Q19)/(Datos!R19-Datos!P19+Datos!Q19)," - ")</f>
        <v>0.159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658.17930687617343</v>
      </c>
      <c r="G21" s="252">
        <f>IF(ISNUMBER(STDEV(G8:G18)),STDEV(G8:G18),"-")</f>
        <v>630.36219747062876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463.44686858365975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42.551929059287858</v>
      </c>
      <c r="AJ21" s="251">
        <f t="shared" si="18"/>
        <v>0</v>
      </c>
      <c r="AK21" s="253">
        <f t="shared" si="18"/>
        <v>0</v>
      </c>
      <c r="AL21" s="248">
        <f t="shared" si="18"/>
        <v>0.12874396149598596</v>
      </c>
      <c r="AM21" s="249">
        <f t="shared" si="18"/>
        <v>3.5382418569118359</v>
      </c>
      <c r="AN21" s="249">
        <f t="shared" si="18"/>
        <v>0.200863662584057</v>
      </c>
      <c r="AO21" s="250">
        <f t="shared" si="18"/>
        <v>0.32269052797273073</v>
      </c>
      <c r="AP21" s="290" t="str">
        <f t="shared" si="18"/>
        <v>-</v>
      </c>
      <c r="AQ21" s="291">
        <f t="shared" si="18"/>
        <v>0.25544695236582116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IEXJQrOkaK8NFsRJNANaBgDNX2aCPraMEb2fb1j85blsC04Rg2KyvxpdItFLhRB5K7EgzbxUedVY4R/0DdRLw==" saltValue="5WURQx0yx6qurghO4nY2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CAZALLA DE LA SIERRA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-0.33333333333333331</v>
      </c>
      <c r="F10" s="347">
        <f>IF(ISNUMBER((Datos!K10-Datos!U10)/Datos!U10),(Datos!K10-Datos!U10)/Datos!U10," - ")</f>
        <v>0.16666666666666666</v>
      </c>
      <c r="G10" s="348">
        <f>IF(ISNUMBER((Datos!L10-Datos!V10)/Datos!V10),(Datos!L10-Datos!V10)/Datos!V10," - ")</f>
        <v>-0.16666666666666666</v>
      </c>
      <c r="H10" s="229">
        <f>IF(ISNUMBER((Datos!M10-Datos!W10)/Datos!W10),(Datos!M10-Datos!W10)/Datos!W10," - ")</f>
        <v>0</v>
      </c>
      <c r="I10" s="349">
        <f>IF(ISNUMBER((Tasas!C10-Datos!BE10)/Datos!BE10),(Tasas!C10-Datos!BE10)/Datos!BE10," - ")</f>
        <v>-0.2857142857142857</v>
      </c>
      <c r="J10" s="348">
        <f>IF(ISNUMBER((Tasas!D10-Datos!BF10)/Datos!BF10),(Tasas!D10-Datos!BF10)/Datos!BF10," - ")</f>
        <v>-0.14285714285714285</v>
      </c>
      <c r="K10" s="350">
        <f>IF(ISNUMBER((Tasas!E10-Datos!BG10)/Datos!BG10),(Tasas!E10-Datos!BG10)/Datos!BG10," - ")</f>
        <v>-0.1428571428571429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0.10112359550561797</v>
      </c>
      <c r="I12" s="349">
        <f>IF(ISNUMBER((Tasas!C12-Datos!BE12)/Datos!BE12),(Tasas!C12-Datos!BE12)/Datos!BE12," - ")</f>
        <v>-0.22572835795976284</v>
      </c>
      <c r="J12" s="348">
        <f>IF(ISNUMBER((Tasas!D12-Datos!BF12)/Datos!BF12),(Tasas!D12-Datos!BF12)/Datos!BF12," - ")</f>
        <v>-0.81039248203427305</v>
      </c>
      <c r="K12" s="350">
        <f>IF(ISNUMBER((Tasas!E12-Datos!BG12)/Datos!BG12),(Tasas!E12-Datos!BG12)/Datos!BG12," - ")</f>
        <v>-0.13887478133288189</v>
      </c>
      <c r="M12" t="e">
        <f>IF(Monitorios="SI",Datos!CE12,0)</f>
        <v>#REF!</v>
      </c>
      <c r="N12" t="e">
        <f>IF(Monitorios="SI",Datos!CF12,0)</f>
        <v>#REF!</v>
      </c>
      <c r="O12" t="e">
        <f>IF(Monitorios="SI",Datos!CG12,0)</f>
        <v>#REF!</v>
      </c>
      <c r="P12" t="e">
        <f>IF(Monitorios="SI",Datos!CH12,0)</f>
        <v>#REF!</v>
      </c>
      <c r="Q12">
        <f>IF(J_V="SI",0,Datos!AG12)</f>
        <v>77</v>
      </c>
      <c r="R12">
        <f>IF(J_V="SI",0,Datos!AH12)</f>
        <v>87</v>
      </c>
      <c r="S12">
        <f>IF(J_V="SI",0,Datos!AI12)</f>
        <v>119</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9.6774193548387094E-2</v>
      </c>
      <c r="I13" s="356">
        <f>IF(ISNUMBER((Tasas!C13-Datos!BE13)/Datos!BE13),(Tasas!C13-Datos!BE13)/Datos!BE13," - ")</f>
        <v>-0.2256532355049137</v>
      </c>
      <c r="J13" s="354">
        <f>IF(ISNUMBER((Tasas!D13-Datos!BF13)/Datos!BF13),(Tasas!D13-Datos!BF13)/Datos!BF13," - ")</f>
        <v>-0.80443578343410338</v>
      </c>
      <c r="K13" s="357">
        <f>IF(ISNUMBER((Tasas!E13-Datos!BG13)/Datos!BG13),(Tasas!E13-Datos!BG13)/Datos!BG13," - ")</f>
        <v>-0.13866651987383624</v>
      </c>
      <c r="M13" t="e">
        <f>IF(Monitorios="SI",Datos!CE13,0)</f>
        <v>#REF!</v>
      </c>
      <c r="N13" t="e">
        <f>IF(Monitorios="SI",Datos!CF13,0)</f>
        <v>#REF!</v>
      </c>
      <c r="O13" t="e">
        <f>IF(Monitorios="SI",Datos!CG13,0)</f>
        <v>#REF!</v>
      </c>
      <c r="P13" t="e">
        <f>IF(Monitorios="SI",Datos!CH13,0)</f>
        <v>#REF!</v>
      </c>
      <c r="Q13">
        <f>IF(J_V="SI",0,Datos!AG13)</f>
        <v>77</v>
      </c>
      <c r="R13">
        <f>IF(J_V="SI",0,Datos!AH13)</f>
        <v>87</v>
      </c>
      <c r="S13">
        <f>IF(J_V="SI",0,Datos!AI13)</f>
        <v>119</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0.67941176470588238</v>
      </c>
      <c r="E16" s="347">
        <f>IF(ISNUMBER(
   IF(D_I="SI",(Datos!J16-Datos!T16)/Datos!T16,(Datos!J16+Datos!AD16-(Datos!T16+Datos!AL16))/(Datos!T16+Datos!AL16))
     ),IF(D_I="SI",(Datos!J16-Datos!T16)/Datos!T16,(Datos!J16+Datos!AD16-(Datos!T16+Datos!AL16))/(Datos!T16+Datos!AL16))," - ")</f>
        <v>-0.17782426778242677</v>
      </c>
      <c r="F16" s="347">
        <f>IF(ISNUMBER(
   IF(D_I="SI",(Datos!K16-Datos!U16)/Datos!U16,(Datos!K16+Datos!AE16-(Datos!U16+Datos!AM16))/(Datos!U16+Datos!AM16))
     ),IF(D_I="SI",(Datos!K16-Datos!U16)/Datos!U16,(Datos!K16+Datos!AE16-(Datos!U16+Datos!AM16))/(Datos!U16+Datos!AM16))," - ")</f>
        <v>0.56203007518796988</v>
      </c>
      <c r="G16" s="348">
        <f>IF(ISNUMBER(
   IF(D_I="SI",(Datos!L16-Datos!V16)/Datos!V16,(Datos!L16+Datos!AF16-(Datos!V16+Datos!AN16))/(Datos!V16+Datos!AN16))
     ),IF(D_I="SI",(Datos!L16-Datos!V16)/Datos!V16,(Datos!L16+Datos!AF16-(Datos!V16+Datos!AN16))/(Datos!V16+Datos!AN16))," - ")</f>
        <v>-3.5901926444833622E-2</v>
      </c>
      <c r="H16" s="229">
        <f>IF(ISNUMBER((Datos!M16-Datos!W16)/Datos!W16),(Datos!M16-Datos!W16)/Datos!W16," - ")</f>
        <v>0.21951219512195122</v>
      </c>
      <c r="I16" s="349">
        <f>IF(ISNUMBER((Tasas!C16-Datos!BE16)/Datos!BE16),(Tasas!C16-Datos!BE16)/Datos!BE16," - ")</f>
        <v>-0.38279160634013415</v>
      </c>
      <c r="J16" s="348">
        <f>IF(ISNUMBER((Tasas!D16-Datos!BF16)/Datos!BF16),(Tasas!D16-Datos!BF16)/Datos!BF16," - ")</f>
        <v>-0.21927739132986998</v>
      </c>
      <c r="K16" s="350">
        <f>IF(ISNUMBER((Tasas!E16-Datos!BG16)/Datos!BG16),(Tasas!E16-Datos!BG16)/Datos!BG16," - ")</f>
        <v>-0.24554326686850328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9.8360655737704916E-2</v>
      </c>
      <c r="E17" s="347">
        <f>IF(ISNUMBER(
   IF(D_I="SI",(Datos!J17-Datos!T17)/Datos!T17,(Datos!J17+Datos!AD17-(Datos!T17+Datos!AL17))/(Datos!T17+Datos!AL17))
     ),IF(D_I="SI",(Datos!J17-Datos!T17)/Datos!T17,(Datos!J17+Datos!AD17-(Datos!T17+Datos!AL17))/(Datos!T17+Datos!AL17))," - ")</f>
        <v>9.1743119266055051E-2</v>
      </c>
      <c r="F17" s="347">
        <f>IF(ISNUMBER(
   IF(D_I="SI",(Datos!K17-Datos!U17)/Datos!U17,(Datos!K17+Datos!AE17-(Datos!U17+Datos!AM17))/(Datos!U17+Datos!AM17))
     ),IF(D_I="SI",(Datos!K17-Datos!U17)/Datos!U17,(Datos!K17+Datos!AE17-(Datos!U17+Datos!AM17))/(Datos!U17+Datos!AM17))," - ")</f>
        <v>-0.10679611650485436</v>
      </c>
      <c r="G17" s="348">
        <f>IF(ISNUMBER(
   IF(D_I="SI",(Datos!L17-Datos!V17)/Datos!V17,(Datos!L17+Datos!AF17-(Datos!V17+Datos!AN17))/(Datos!V17+Datos!AN17))
     ),IF(D_I="SI",(Datos!L17-Datos!V17)/Datos!V17,(Datos!L17+Datos!AF17-(Datos!V17+Datos!AN17))/(Datos!V17+Datos!AN17))," - ")</f>
        <v>0.41791044776119401</v>
      </c>
      <c r="H17" s="229">
        <f>IF(ISNUMBER((Datos!M17-Datos!W17)/Datos!W17),(Datos!M17-Datos!W17)/Datos!W17," - ")</f>
        <v>1</v>
      </c>
      <c r="I17" s="349">
        <f>IF(ISNUMBER((Tasas!C17-Datos!BE17)/Datos!BE17),(Tasas!C17-Datos!BE17)/Datos!BE17," - ")</f>
        <v>0.58744321868916261</v>
      </c>
      <c r="J17" s="348">
        <f>IF(ISNUMBER((Tasas!D17-Datos!BF17)/Datos!BF17),(Tasas!D17-Datos!BF17)/Datos!BF17," - ")</f>
        <v>1.2391304347826086</v>
      </c>
      <c r="K17" s="350">
        <f>IF(ISNUMBER((Tasas!E17-Datos!BG17)/Datos!BG17),(Tasas!E17-Datos!BG17)/Datos!BG17," - ")</f>
        <v>0.22493606138107428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0.63157894736842102</v>
      </c>
      <c r="E18" s="353">
        <f>IF(ISNUMBER(
   IF(D_I="SI",(Datos!J18-Datos!T18)/Datos!T18,(Datos!J18+Datos!AD18-(Datos!T18+Datos!AL18))/(Datos!T18+Datos!AL18))
     ),IF(D_I="SI",(Datos!J18-Datos!T18)/Datos!T18,(Datos!J18+Datos!AD18-(Datos!T18+Datos!AL18))/(Datos!T18+Datos!AL18))," - ")</f>
        <v>-0.15023474178403756</v>
      </c>
      <c r="F18" s="353">
        <f>IF(ISNUMBER(
   IF(D_I="SI",(Datos!K18-Datos!U18)/Datos!U18,(Datos!K18+Datos!AE18-(Datos!U18+Datos!AM18))/(Datos!U18+Datos!AM18))
     ),IF(D_I="SI",(Datos!K18-Datos!U18)/Datos!U18,(Datos!K18+Datos!AE18-(Datos!U18+Datos!AM18))/(Datos!U18+Datos!AM18))," - ")</f>
        <v>0.45354330708661417</v>
      </c>
      <c r="G18" s="354">
        <f>IF(ISNUMBER(
   IF(D_I="SI",(Datos!L18-Datos!V18)/Datos!V18,(Datos!L18+Datos!AF18-(Datos!V18+Datos!AN18))/(Datos!V18+Datos!AN18))
     ),IF(D_I="SI",(Datos!L18-Datos!V18)/Datos!V18,(Datos!L18+Datos!AF18-(Datos!V18+Datos!AN18))/(Datos!V18+Datos!AN18))," - ")</f>
        <v>-1.0752688172043012E-2</v>
      </c>
      <c r="H18" s="355">
        <f>IF(ISNUMBER((Datos!M18-Datos!W18)/Datos!W18),(Datos!M18-Datos!W18)/Datos!W18," - ")</f>
        <v>0.27272727272727271</v>
      </c>
      <c r="I18" s="356">
        <f>IF(ISNUMBER((Tasas!C18-Datos!BE18)/Datos!BE18),(Tasas!C18-Datos!BE18)/Datos!BE18," - ")</f>
        <v>-0.31942357203602084</v>
      </c>
      <c r="J18" s="354">
        <f>IF(ISNUMBER((Tasas!D18-Datos!BF18)/Datos!BF18),(Tasas!D18-Datos!BF18)/Datos!BF18," - ")</f>
        <v>-0.12439673003053281</v>
      </c>
      <c r="K18" s="357">
        <f>IF(ISNUMBER((Tasas!E18-Datos!BG18)/Datos!BG18),(Tasas!E18-Datos!BG18)/Datos!BG18," - ")</f>
        <v>-0.19469710331158085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0.52637889688249395</v>
      </c>
      <c r="E19" s="362">
        <f>IF(ISNUMBER(
   IF(J_V="SI",(Datos!J19-Datos!T19)/Datos!T19,(Datos!J19+Datos!Z19-(Datos!T19+Datos!AH19))/(Datos!T19+Datos!AH19))
     ),IF(J_V="SI",(Datos!J19-Datos!T19)/Datos!T19,(Datos!J19+Datos!Z19-(Datos!T19+Datos!AH19))/(Datos!T19+Datos!AH19))," - ")</f>
        <v>-0.16941953751769703</v>
      </c>
      <c r="F19" s="362">
        <f>IF(ISNUMBER(
   IF(J_V="SI",(Datos!K19-Datos!U19)/Datos!U19,(Datos!K19+Datos!AA19-(Datos!U19+Datos!AI19))/(Datos!U19+Datos!AI19))
     ),IF(J_V="SI",(Datos!K19-Datos!U19)/Datos!U19,(Datos!K19+Datos!AA19-(Datos!U19+Datos!AI19))/(Datos!U19+Datos!AI19))," - ")</f>
        <v>0.3667687595712098</v>
      </c>
      <c r="G19" s="363">
        <f>IF(ISNUMBER(
   IF(J_V="SI",(Datos!L19-Datos!V19)/Datos!V19,(Datos!L19+Datos!AB19-(Datos!V19+Datos!AJ19))/(Datos!V19+Datos!AJ19))
     ),IF(J_V="SI",(Datos!L19-Datos!V19)/Datos!V19,(Datos!L19+Datos!AB19-(Datos!V19+Datos!AJ19))/(Datos!V19+Datos!AJ19))," - ")</f>
        <v>-7.8554595443833461E-3</v>
      </c>
      <c r="H19" s="364">
        <f>IF(ISNUMBER((Datos!M19-Datos!W19)/Datos!W19),(Datos!M19-Datos!W19)/Datos!W19," - ")</f>
        <v>0.15328467153284672</v>
      </c>
      <c r="I19" s="361">
        <f>IF(ISNUMBER((Tasas!C19-Datos!BE19)/Datos!BE19),(Tasas!C19-Datos!BE19)/Datos!BE19," - ")</f>
        <v>-0.27409480681510623</v>
      </c>
      <c r="J19" s="362">
        <f>IF(ISNUMBER((Tasas!D19-Datos!BF19)/Datos!BF19),(Tasas!D19-Datos!BF19)/Datos!BF19," - ")</f>
        <v>-0.7431086212262682</v>
      </c>
      <c r="K19" s="363">
        <f>IF(ISNUMBER((Tasas!E19-Datos!BG19)/Datos!BG19),(Tasas!E19-Datos!BG19)/Datos!BG19," - ")</f>
        <v>-0.16807595496609001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0.37368597689437777</v>
      </c>
      <c r="E21" s="277">
        <f t="shared" si="1"/>
        <v>0.17568418577893111</v>
      </c>
      <c r="F21" s="277">
        <f t="shared" si="1"/>
        <v>0.30089733140701491</v>
      </c>
      <c r="G21" s="278">
        <f t="shared" si="1"/>
        <v>0.25388140734806997</v>
      </c>
      <c r="H21" s="284">
        <f t="shared" si="1"/>
        <v>0.36498301440095621</v>
      </c>
      <c r="I21" s="276">
        <f t="shared" si="1"/>
        <v>0.36227316368559254</v>
      </c>
      <c r="J21" s="277">
        <f t="shared" si="1"/>
        <v>0.74824540373478765</v>
      </c>
      <c r="K21" s="278">
        <f t="shared" si="1"/>
        <v>0.16754967216236821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SaayeaW78hK0t/i/QxucwJc/JkgtWtsDn4pd2K/quu58u0VDdvuVFJ3+/P0dc5OpwvDtcJINqw59CtCK7tQag==" saltValue="hfWLt5RcKw3ukW0vvlHm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